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tor Reyes\Desktop\Componente No.3 Inapa (11-01-22)\ULTIMO 14-01-22\"/>
    </mc:Choice>
  </mc:AlternateContent>
  <bookViews>
    <workbookView xWindow="0" yWindow="0" windowWidth="22992" windowHeight="9288" activeTab="1"/>
  </bookViews>
  <sheets>
    <sheet name="Parametros" sheetId="1" r:id="rId1"/>
    <sheet name="Componente 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M60" i="2" l="1"/>
  <c r="N60" i="2"/>
  <c r="O60" i="2"/>
  <c r="P60" i="2"/>
  <c r="L60" i="2"/>
  <c r="W60" i="2"/>
  <c r="E59" i="2"/>
  <c r="F59" i="2" s="1"/>
  <c r="V59" i="2" s="1"/>
  <c r="E58" i="2"/>
  <c r="F58" i="2" s="1"/>
  <c r="S58" i="2" s="1"/>
  <c r="E57" i="2"/>
  <c r="L57" i="2" s="1"/>
  <c r="E55" i="2"/>
  <c r="E54" i="2"/>
  <c r="F54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E45" i="2"/>
  <c r="F45" i="2" s="1"/>
  <c r="E43" i="2"/>
  <c r="F43" i="2" s="1"/>
  <c r="E42" i="2"/>
  <c r="F42" i="2" s="1"/>
  <c r="E40" i="2"/>
  <c r="E38" i="2"/>
  <c r="F38" i="2" s="1"/>
  <c r="T38" i="2" s="1"/>
  <c r="E37" i="2"/>
  <c r="F37" i="2" s="1"/>
  <c r="U37" i="2" s="1"/>
  <c r="E36" i="2"/>
  <c r="F36" i="2" s="1"/>
  <c r="V36" i="2" s="1"/>
  <c r="E35" i="2"/>
  <c r="F35" i="2" s="1"/>
  <c r="V35" i="2" s="1"/>
  <c r="E33" i="2"/>
  <c r="E32" i="2"/>
  <c r="M32" i="2" s="1"/>
  <c r="E30" i="2"/>
  <c r="M30" i="2" s="1"/>
  <c r="E29" i="2"/>
  <c r="E27" i="2"/>
  <c r="E25" i="2"/>
  <c r="F25" i="2" s="1"/>
  <c r="U25" i="2" s="1"/>
  <c r="E24" i="2"/>
  <c r="F24" i="2" s="1"/>
  <c r="S24" i="2" s="1"/>
  <c r="E23" i="2"/>
  <c r="E21" i="2"/>
  <c r="E20" i="2"/>
  <c r="N20" i="2" s="1"/>
  <c r="E19" i="2"/>
  <c r="F19" i="2" s="1"/>
  <c r="V19" i="2" s="1"/>
  <c r="E17" i="2"/>
  <c r="F17" i="2" s="1"/>
  <c r="T17" i="2" s="1"/>
  <c r="E16" i="2"/>
  <c r="F16" i="2" s="1"/>
  <c r="S16" i="2" s="1"/>
  <c r="E15" i="2"/>
  <c r="F15" i="2" s="1"/>
  <c r="S15" i="2" s="1"/>
  <c r="E14" i="2"/>
  <c r="P14" i="2" s="1"/>
  <c r="E13" i="2"/>
  <c r="E12" i="2"/>
  <c r="F12" i="2" s="1"/>
  <c r="U12" i="2" s="1"/>
  <c r="E11" i="2"/>
  <c r="N11" i="2" s="1"/>
  <c r="E10" i="2"/>
  <c r="M10" i="2" s="1"/>
  <c r="E8" i="2"/>
  <c r="F8" i="2" s="1"/>
  <c r="V8" i="2" s="1"/>
  <c r="E7" i="2"/>
  <c r="F7" i="2" s="1"/>
  <c r="R7" i="2" s="1"/>
  <c r="E6" i="2"/>
  <c r="F6" i="2" s="1"/>
  <c r="S6" i="2" s="1"/>
  <c r="F10" i="2"/>
  <c r="S10" i="2" s="1"/>
  <c r="F13" i="2"/>
  <c r="T13" i="2" s="1"/>
  <c r="F21" i="2"/>
  <c r="T21" i="2" s="1"/>
  <c r="F23" i="2"/>
  <c r="S23" i="2" s="1"/>
  <c r="F29" i="2"/>
  <c r="U29" i="2" s="1"/>
  <c r="F33" i="2"/>
  <c r="R33" i="2" s="1"/>
  <c r="F40" i="2"/>
  <c r="S40" i="2" s="1"/>
  <c r="F46" i="2"/>
  <c r="F55" i="2"/>
  <c r="D8" i="1"/>
  <c r="E8" i="1" s="1"/>
  <c r="F8" i="1" s="1"/>
  <c r="G8" i="1" s="1"/>
  <c r="L59" i="2"/>
  <c r="M59" i="2"/>
  <c r="N59" i="2"/>
  <c r="O59" i="2"/>
  <c r="P59" i="2"/>
  <c r="G55" i="2"/>
  <c r="L55" i="2" s="1"/>
  <c r="G54" i="2"/>
  <c r="L54" i="2" s="1"/>
  <c r="B45" i="2"/>
  <c r="G45" i="2" s="1"/>
  <c r="G47" i="2"/>
  <c r="H47" i="2" s="1"/>
  <c r="G49" i="2"/>
  <c r="H49" i="2" s="1"/>
  <c r="G50" i="2"/>
  <c r="H50" i="2" s="1"/>
  <c r="I50" i="2" s="1"/>
  <c r="J50" i="2" s="1"/>
  <c r="G51" i="2"/>
  <c r="H51" i="2" s="1"/>
  <c r="I51" i="2" s="1"/>
  <c r="J51" i="2" s="1"/>
  <c r="K51" i="2" s="1"/>
  <c r="B52" i="2"/>
  <c r="G52" i="2" s="1"/>
  <c r="L45" i="2"/>
  <c r="B42" i="2"/>
  <c r="G42" i="2" s="1"/>
  <c r="B43" i="2"/>
  <c r="G43" i="2" s="1"/>
  <c r="H43" i="2" s="1"/>
  <c r="L40" i="2"/>
  <c r="M40" i="2"/>
  <c r="N40" i="2"/>
  <c r="O40" i="2"/>
  <c r="P40" i="2"/>
  <c r="H35" i="2"/>
  <c r="H36" i="2"/>
  <c r="H37" i="2"/>
  <c r="H38" i="2"/>
  <c r="N38" i="2"/>
  <c r="O38" i="2"/>
  <c r="P38" i="2"/>
  <c r="L38" i="2"/>
  <c r="H33" i="2"/>
  <c r="N7" i="2"/>
  <c r="N8" i="2"/>
  <c r="N12" i="2"/>
  <c r="N13" i="2"/>
  <c r="N16" i="2"/>
  <c r="N21" i="2"/>
  <c r="N23" i="2"/>
  <c r="N29" i="2"/>
  <c r="L32" i="2"/>
  <c r="L30" i="2"/>
  <c r="L29" i="2"/>
  <c r="M29" i="2"/>
  <c r="O29" i="2"/>
  <c r="P29" i="2"/>
  <c r="M27" i="2"/>
  <c r="I27" i="2"/>
  <c r="O27" i="2"/>
  <c r="L27" i="2"/>
  <c r="P27" i="2"/>
  <c r="G25" i="2"/>
  <c r="G24" i="2"/>
  <c r="G23" i="2"/>
  <c r="L23" i="2" s="1"/>
  <c r="M23" i="2"/>
  <c r="O23" i="2"/>
  <c r="P23" i="2"/>
  <c r="G21" i="2"/>
  <c r="L21" i="2" s="1"/>
  <c r="G20" i="2"/>
  <c r="G19" i="2"/>
  <c r="M21" i="2"/>
  <c r="O21" i="2"/>
  <c r="P21" i="2"/>
  <c r="G11" i="2"/>
  <c r="G12" i="2"/>
  <c r="L12" i="2" s="1"/>
  <c r="G13" i="2"/>
  <c r="L13" i="2" s="1"/>
  <c r="G14" i="2"/>
  <c r="G15" i="2"/>
  <c r="G16" i="2"/>
  <c r="L16" i="2" s="1"/>
  <c r="G17" i="2"/>
  <c r="G10" i="2"/>
  <c r="M12" i="2"/>
  <c r="O12" i="2"/>
  <c r="P12" i="2"/>
  <c r="M13" i="2"/>
  <c r="O13" i="2"/>
  <c r="P13" i="2"/>
  <c r="M16" i="2"/>
  <c r="O16" i="2"/>
  <c r="P16" i="2"/>
  <c r="G8" i="2"/>
  <c r="L8" i="2" s="1"/>
  <c r="M8" i="2"/>
  <c r="O8" i="2"/>
  <c r="P8" i="2"/>
  <c r="L7" i="2"/>
  <c r="M7" i="2"/>
  <c r="O7" i="2"/>
  <c r="P7" i="2"/>
  <c r="G6" i="2"/>
  <c r="N10" i="2" l="1"/>
  <c r="L36" i="2"/>
  <c r="O57" i="2"/>
  <c r="O14" i="2"/>
  <c r="M24" i="2"/>
  <c r="N24" i="2"/>
  <c r="P51" i="2"/>
  <c r="P10" i="2"/>
  <c r="Q10" i="2" s="1"/>
  <c r="M14" i="2"/>
  <c r="L10" i="2"/>
  <c r="L14" i="2"/>
  <c r="P19" i="2"/>
  <c r="P30" i="2"/>
  <c r="N14" i="2"/>
  <c r="P36" i="2"/>
  <c r="Q36" i="2" s="1"/>
  <c r="L49" i="2"/>
  <c r="N57" i="2"/>
  <c r="F57" i="2"/>
  <c r="R57" i="2" s="1"/>
  <c r="F30" i="2"/>
  <c r="T30" i="2" s="1"/>
  <c r="O19" i="2"/>
  <c r="P24" i="2"/>
  <c r="L24" i="2"/>
  <c r="O30" i="2"/>
  <c r="Q30" i="2" s="1"/>
  <c r="N30" i="2"/>
  <c r="O36" i="2"/>
  <c r="M36" i="2"/>
  <c r="L51" i="2"/>
  <c r="M57" i="2"/>
  <c r="F14" i="2"/>
  <c r="V14" i="2" s="1"/>
  <c r="N27" i="2"/>
  <c r="Q27" i="2" s="1"/>
  <c r="F27" i="2"/>
  <c r="T27" i="2" s="1"/>
  <c r="O10" i="2"/>
  <c r="M19" i="2"/>
  <c r="L19" i="2"/>
  <c r="O24" i="2"/>
  <c r="Q24" i="2" s="1"/>
  <c r="N19" i="2"/>
  <c r="N36" i="2"/>
  <c r="L42" i="2"/>
  <c r="P57" i="2"/>
  <c r="Q57" i="2" s="1"/>
  <c r="O6" i="2"/>
  <c r="M15" i="2"/>
  <c r="Q13" i="2"/>
  <c r="L20" i="2"/>
  <c r="L37" i="2"/>
  <c r="B46" i="2"/>
  <c r="Q12" i="2"/>
  <c r="H55" i="2"/>
  <c r="M55" i="2" s="1"/>
  <c r="F20" i="2"/>
  <c r="U20" i="2" s="1"/>
  <c r="Q21" i="2"/>
  <c r="N32" i="2"/>
  <c r="P15" i="2"/>
  <c r="O20" i="2"/>
  <c r="O32" i="2"/>
  <c r="N15" i="2"/>
  <c r="O37" i="2"/>
  <c r="N58" i="2"/>
  <c r="F32" i="2"/>
  <c r="S32" i="2" s="1"/>
  <c r="Q40" i="2"/>
  <c r="M6" i="2"/>
  <c r="P11" i="2"/>
  <c r="P20" i="2"/>
  <c r="P32" i="2"/>
  <c r="Q23" i="2"/>
  <c r="N6" i="2"/>
  <c r="P37" i="2"/>
  <c r="H54" i="2"/>
  <c r="M54" i="2" s="1"/>
  <c r="P6" i="2"/>
  <c r="O15" i="2"/>
  <c r="M20" i="2"/>
  <c r="N37" i="2"/>
  <c r="L47" i="2"/>
  <c r="S47" i="2"/>
  <c r="R15" i="2"/>
  <c r="V15" i="2"/>
  <c r="U15" i="2"/>
  <c r="T15" i="2"/>
  <c r="O33" i="2"/>
  <c r="R45" i="2"/>
  <c r="R55" i="2"/>
  <c r="R6" i="2"/>
  <c r="R36" i="2"/>
  <c r="S38" i="2"/>
  <c r="S8" i="2"/>
  <c r="S36" i="2"/>
  <c r="U58" i="2"/>
  <c r="S35" i="2"/>
  <c r="T36" i="2"/>
  <c r="S49" i="2"/>
  <c r="M49" i="2"/>
  <c r="I49" i="2"/>
  <c r="T49" i="2" s="1"/>
  <c r="O17" i="2"/>
  <c r="S43" i="2"/>
  <c r="L58" i="2"/>
  <c r="Q16" i="2"/>
  <c r="M35" i="2"/>
  <c r="H42" i="2"/>
  <c r="M42" i="2" s="1"/>
  <c r="M51" i="2"/>
  <c r="O58" i="2"/>
  <c r="V58" i="2"/>
  <c r="R35" i="2"/>
  <c r="T14" i="2"/>
  <c r="U8" i="2"/>
  <c r="Q8" i="2"/>
  <c r="P17" i="2"/>
  <c r="O11" i="2"/>
  <c r="R25" i="2"/>
  <c r="L35" i="2"/>
  <c r="L43" i="2"/>
  <c r="R47" i="2"/>
  <c r="M58" i="2"/>
  <c r="S25" i="2"/>
  <c r="U7" i="2"/>
  <c r="M11" i="2"/>
  <c r="P25" i="2"/>
  <c r="P35" i="2"/>
  <c r="Q7" i="2"/>
  <c r="M17" i="2"/>
  <c r="O25" i="2"/>
  <c r="O35" i="2"/>
  <c r="M50" i="2"/>
  <c r="T50" i="2"/>
  <c r="F11" i="2"/>
  <c r="S11" i="2" s="1"/>
  <c r="U50" i="2"/>
  <c r="L6" i="2"/>
  <c r="L15" i="2"/>
  <c r="L17" i="2"/>
  <c r="L11" i="2"/>
  <c r="M25" i="2"/>
  <c r="Q29" i="2"/>
  <c r="N25" i="2"/>
  <c r="N17" i="2"/>
  <c r="N35" i="2"/>
  <c r="L50" i="2"/>
  <c r="I55" i="2"/>
  <c r="T55" i="2" s="1"/>
  <c r="P58" i="2"/>
  <c r="T35" i="2"/>
  <c r="T8" i="2"/>
  <c r="V57" i="2"/>
  <c r="U57" i="2"/>
  <c r="U40" i="2"/>
  <c r="U51" i="2"/>
  <c r="U13" i="2"/>
  <c r="T51" i="2"/>
  <c r="T7" i="2"/>
  <c r="M33" i="2"/>
  <c r="S37" i="2"/>
  <c r="S51" i="2"/>
  <c r="U6" i="2"/>
  <c r="R51" i="2"/>
  <c r="U38" i="2"/>
  <c r="P33" i="2"/>
  <c r="N33" i="2"/>
  <c r="U59" i="2"/>
  <c r="R38" i="2"/>
  <c r="R29" i="2"/>
  <c r="Q60" i="2"/>
  <c r="L33" i="2"/>
  <c r="S33" i="2"/>
  <c r="V7" i="2"/>
  <c r="V16" i="2"/>
  <c r="U14" i="2"/>
  <c r="S7" i="2"/>
  <c r="T57" i="2"/>
  <c r="T40" i="2"/>
  <c r="T37" i="2"/>
  <c r="S12" i="2"/>
  <c r="S57" i="2"/>
  <c r="R40" i="2"/>
  <c r="R37" i="2"/>
  <c r="T6" i="2"/>
  <c r="V13" i="2"/>
  <c r="L52" i="2"/>
  <c r="H52" i="2"/>
  <c r="S52" i="2" s="1"/>
  <c r="L25" i="2"/>
  <c r="O50" i="2"/>
  <c r="O51" i="2"/>
  <c r="I54" i="2"/>
  <c r="T54" i="2" s="1"/>
  <c r="M38" i="2"/>
  <c r="Q38" i="2" s="1"/>
  <c r="M43" i="2"/>
  <c r="N49" i="2"/>
  <c r="N50" i="2"/>
  <c r="N51" i="2"/>
  <c r="H45" i="2"/>
  <c r="M37" i="2"/>
  <c r="I43" i="2"/>
  <c r="M47" i="2"/>
  <c r="K50" i="2"/>
  <c r="J49" i="2"/>
  <c r="I47" i="2"/>
  <c r="J55" i="2"/>
  <c r="Q59" i="2"/>
  <c r="R43" i="2"/>
  <c r="R50" i="2"/>
  <c r="R52" i="2"/>
  <c r="R54" i="2"/>
  <c r="S54" i="2"/>
  <c r="R59" i="2"/>
  <c r="R58" i="2"/>
  <c r="V51" i="2"/>
  <c r="V40" i="2"/>
  <c r="V38" i="2"/>
  <c r="V37" i="2"/>
  <c r="U36" i="2"/>
  <c r="U35" i="2"/>
  <c r="U33" i="2"/>
  <c r="T29" i="2"/>
  <c r="T25" i="2"/>
  <c r="T24" i="2"/>
  <c r="T23" i="2"/>
  <c r="S21" i="2"/>
  <c r="S19" i="2"/>
  <c r="S17" i="2"/>
  <c r="V12" i="2"/>
  <c r="V6" i="2"/>
  <c r="R8" i="2"/>
  <c r="T33" i="2"/>
  <c r="S29" i="2"/>
  <c r="R23" i="2"/>
  <c r="R21" i="2"/>
  <c r="R19" i="2"/>
  <c r="R17" i="2"/>
  <c r="R16" i="2"/>
  <c r="V10" i="2"/>
  <c r="R10" i="2"/>
  <c r="R24" i="2"/>
  <c r="V17" i="2"/>
  <c r="T12" i="2"/>
  <c r="R12" i="2"/>
  <c r="T59" i="2"/>
  <c r="T58" i="2"/>
  <c r="S50" i="2"/>
  <c r="R42" i="2"/>
  <c r="V25" i="2"/>
  <c r="V24" i="2"/>
  <c r="V23" i="2"/>
  <c r="V21" i="2"/>
  <c r="U19" i="2"/>
  <c r="U17" i="2"/>
  <c r="U16" i="2"/>
  <c r="S13" i="2"/>
  <c r="R13" i="2"/>
  <c r="U10" i="2"/>
  <c r="S59" i="2"/>
  <c r="R49" i="2"/>
  <c r="V33" i="2"/>
  <c r="V30" i="2"/>
  <c r="V29" i="2"/>
  <c r="U24" i="2"/>
  <c r="U23" i="2"/>
  <c r="U21" i="2"/>
  <c r="T19" i="2"/>
  <c r="T16" i="2"/>
  <c r="R14" i="2"/>
  <c r="S14" i="2"/>
  <c r="T10" i="2"/>
  <c r="S30" i="2" l="1"/>
  <c r="U30" i="2"/>
  <c r="S55" i="2"/>
  <c r="R27" i="2"/>
  <c r="Q19" i="2"/>
  <c r="U27" i="2"/>
  <c r="N55" i="2"/>
  <c r="R30" i="2"/>
  <c r="Q14" i="2"/>
  <c r="Q20" i="2"/>
  <c r="R20" i="2"/>
  <c r="S27" i="2"/>
  <c r="V27" i="2"/>
  <c r="Q6" i="2"/>
  <c r="V20" i="2"/>
  <c r="W20" i="2" s="1"/>
  <c r="T32" i="2"/>
  <c r="U32" i="2"/>
  <c r="B48" i="2"/>
  <c r="G48" i="2" s="1"/>
  <c r="G46" i="2"/>
  <c r="Q32" i="2"/>
  <c r="Q37" i="2"/>
  <c r="T20" i="2"/>
  <c r="S20" i="2"/>
  <c r="V32" i="2"/>
  <c r="R32" i="2"/>
  <c r="Q15" i="2"/>
  <c r="W15" i="2"/>
  <c r="V11" i="2"/>
  <c r="W8" i="2"/>
  <c r="R11" i="2"/>
  <c r="T11" i="2"/>
  <c r="U11" i="2"/>
  <c r="W13" i="2"/>
  <c r="W36" i="2"/>
  <c r="I42" i="2"/>
  <c r="S42" i="2"/>
  <c r="Q25" i="2"/>
  <c r="Q58" i="2"/>
  <c r="Q35" i="2"/>
  <c r="W51" i="2"/>
  <c r="W35" i="2"/>
  <c r="Q51" i="2"/>
  <c r="Q11" i="2"/>
  <c r="Q17" i="2"/>
  <c r="W57" i="2"/>
  <c r="W38" i="2"/>
  <c r="W7" i="2"/>
  <c r="Q33" i="2"/>
  <c r="W40" i="2"/>
  <c r="W33" i="2"/>
  <c r="W37" i="2"/>
  <c r="W12" i="2"/>
  <c r="W25" i="2"/>
  <c r="W14" i="2"/>
  <c r="W58" i="2"/>
  <c r="W29" i="2"/>
  <c r="W30" i="2"/>
  <c r="W24" i="2"/>
  <c r="W19" i="2"/>
  <c r="J47" i="2"/>
  <c r="N47" i="2"/>
  <c r="T42" i="2"/>
  <c r="N42" i="2"/>
  <c r="J42" i="2"/>
  <c r="W10" i="2"/>
  <c r="W21" i="2"/>
  <c r="W59" i="2"/>
  <c r="W6" i="2"/>
  <c r="U49" i="2"/>
  <c r="K49" i="2"/>
  <c r="O49" i="2"/>
  <c r="T43" i="2"/>
  <c r="J43" i="2"/>
  <c r="N43" i="2"/>
  <c r="W23" i="2"/>
  <c r="V50" i="2"/>
  <c r="W50" i="2" s="1"/>
  <c r="P50" i="2"/>
  <c r="Q50" i="2" s="1"/>
  <c r="W16" i="2"/>
  <c r="U55" i="2"/>
  <c r="K55" i="2"/>
  <c r="O55" i="2"/>
  <c r="S45" i="2"/>
  <c r="M45" i="2"/>
  <c r="I45" i="2"/>
  <c r="I52" i="2"/>
  <c r="M52" i="2"/>
  <c r="T47" i="2"/>
  <c r="W17" i="2"/>
  <c r="N54" i="2"/>
  <c r="J54" i="2"/>
  <c r="W27" i="2" l="1"/>
  <c r="L46" i="2"/>
  <c r="H46" i="2"/>
  <c r="U46" i="2"/>
  <c r="R46" i="2"/>
  <c r="S46" i="2"/>
  <c r="T46" i="2"/>
  <c r="V46" i="2"/>
  <c r="L48" i="2"/>
  <c r="H48" i="2"/>
  <c r="R48" i="2"/>
  <c r="W32" i="2"/>
  <c r="W11" i="2"/>
  <c r="O54" i="2"/>
  <c r="K54" i="2"/>
  <c r="U54" i="2"/>
  <c r="J52" i="2"/>
  <c r="N52" i="2"/>
  <c r="T52" i="2"/>
  <c r="U43" i="2"/>
  <c r="O43" i="2"/>
  <c r="K43" i="2"/>
  <c r="U47" i="2"/>
  <c r="O47" i="2"/>
  <c r="K47" i="2"/>
  <c r="U42" i="2"/>
  <c r="K42" i="2"/>
  <c r="O42" i="2"/>
  <c r="V49" i="2"/>
  <c r="W49" i="2" s="1"/>
  <c r="P49" i="2"/>
  <c r="Q49" i="2" s="1"/>
  <c r="T45" i="2"/>
  <c r="J45" i="2"/>
  <c r="N45" i="2"/>
  <c r="V55" i="2"/>
  <c r="P55" i="2"/>
  <c r="Q55" i="2" s="1"/>
  <c r="W55" i="2" l="1"/>
  <c r="R61" i="2"/>
  <c r="L61" i="2"/>
  <c r="W46" i="2"/>
  <c r="I48" i="2"/>
  <c r="S48" i="2"/>
  <c r="M48" i="2"/>
  <c r="M46" i="2"/>
  <c r="I46" i="2"/>
  <c r="U45" i="2"/>
  <c r="K45" i="2"/>
  <c r="O45" i="2"/>
  <c r="P42" i="2"/>
  <c r="Q42" i="2" s="1"/>
  <c r="V42" i="2"/>
  <c r="O52" i="2"/>
  <c r="K52" i="2"/>
  <c r="U52" i="2"/>
  <c r="P54" i="2"/>
  <c r="Q54" i="2" s="1"/>
  <c r="V54" i="2"/>
  <c r="V47" i="2"/>
  <c r="P47" i="2"/>
  <c r="Q47" i="2" s="1"/>
  <c r="P43" i="2"/>
  <c r="Q43" i="2" s="1"/>
  <c r="V43" i="2"/>
  <c r="W43" i="2" l="1"/>
  <c r="W47" i="2"/>
  <c r="W54" i="2"/>
  <c r="S61" i="2"/>
  <c r="T48" i="2"/>
  <c r="N48" i="2"/>
  <c r="J48" i="2"/>
  <c r="J46" i="2"/>
  <c r="N46" i="2"/>
  <c r="N61" i="2" s="1"/>
  <c r="M61" i="2"/>
  <c r="P52" i="2"/>
  <c r="Q52" i="2" s="1"/>
  <c r="V52" i="2"/>
  <c r="W52" i="2" s="1"/>
  <c r="P45" i="2"/>
  <c r="Q45" i="2" s="1"/>
  <c r="V45" i="2"/>
  <c r="W42" i="2"/>
  <c r="T61" i="2" l="1"/>
  <c r="W45" i="2"/>
  <c r="K48" i="2"/>
  <c r="U48" i="2"/>
  <c r="O48" i="2"/>
  <c r="O46" i="2"/>
  <c r="K46" i="2"/>
  <c r="P46" i="2" s="1"/>
  <c r="U61" i="2" l="1"/>
  <c r="Q46" i="2"/>
  <c r="O61" i="2"/>
  <c r="V48" i="2"/>
  <c r="P48" i="2"/>
  <c r="Q48" i="2" s="1"/>
  <c r="Q61" i="2" l="1"/>
  <c r="W48" i="2"/>
  <c r="W61" i="2" s="1"/>
  <c r="V61" i="2"/>
  <c r="P61" i="2"/>
</calcChain>
</file>

<file path=xl/sharedStrings.xml><?xml version="1.0" encoding="utf-8"?>
<sst xmlns="http://schemas.openxmlformats.org/spreadsheetml/2006/main" count="131" uniqueCount="90">
  <si>
    <t>tareas/ha</t>
  </si>
  <si>
    <t>USD/RD</t>
  </si>
  <si>
    <t>Cantidad</t>
  </si>
  <si>
    <t>Direct Benefiaries</t>
  </si>
  <si>
    <t>Unit cost (US$)</t>
  </si>
  <si>
    <t>Units</t>
  </si>
  <si>
    <t>Cost (USD)</t>
  </si>
  <si>
    <t>Total Cost (USD)</t>
  </si>
  <si>
    <t>Year 1</t>
  </si>
  <si>
    <t>Year 2</t>
  </si>
  <si>
    <t>Year 3</t>
  </si>
  <si>
    <t>Year 4</t>
  </si>
  <si>
    <t>Year 5</t>
  </si>
  <si>
    <t>Unit cost (RD$)</t>
  </si>
  <si>
    <t>Cost (RD)</t>
  </si>
  <si>
    <t>Total Cost (RD)</t>
  </si>
  <si>
    <t>Concepto</t>
  </si>
  <si>
    <t>Unidad</t>
  </si>
  <si>
    <t>TOTAL</t>
  </si>
  <si>
    <t>Compra Computadora escritorio</t>
  </si>
  <si>
    <t xml:space="preserve">Escritorio </t>
  </si>
  <si>
    <t xml:space="preserve">Silla oficina </t>
  </si>
  <si>
    <t xml:space="preserve">Laptop </t>
  </si>
  <si>
    <t xml:space="preserve">Data Show </t>
  </si>
  <si>
    <t>Cámara digital</t>
  </si>
  <si>
    <t xml:space="preserve">Archivo metálico de 6 gavetas </t>
  </si>
  <si>
    <t>Otros mobiliarios (GPS)</t>
  </si>
  <si>
    <t xml:space="preserve">Motocicleta tipo Saltamonte </t>
  </si>
  <si>
    <t>Pago de servicios (internet, teléfono, etc)</t>
  </si>
  <si>
    <t>Misceláneos (papel, útiles, etc.)</t>
  </si>
  <si>
    <t>Seguro de Vehículo</t>
  </si>
  <si>
    <t>Mantenimiento  Vehiculos</t>
  </si>
  <si>
    <t>Combustibles vehículos_Gasoil</t>
  </si>
  <si>
    <t>Reparaciónes mecánicas vehiculos</t>
  </si>
  <si>
    <t>Seguro Motocicletas</t>
  </si>
  <si>
    <t>Mantenimiento motocicleta</t>
  </si>
  <si>
    <t>Combustibles gasolina y  2T motocicletas</t>
  </si>
  <si>
    <t>Reparaciónes mecánicas motocicletas</t>
  </si>
  <si>
    <t>Gasoil</t>
  </si>
  <si>
    <t>Gasolina</t>
  </si>
  <si>
    <t xml:space="preserve">Taller </t>
  </si>
  <si>
    <t xml:space="preserve">Cursos y talleres a técnicos </t>
  </si>
  <si>
    <t>Cursos /talleres</t>
  </si>
  <si>
    <t xml:space="preserve">talleres </t>
  </si>
  <si>
    <t>Subcomponente 1.3. Apoyo a la conservacion de Areas Protegidas</t>
  </si>
  <si>
    <t>1. Apoyo al Programa de Vigilancia de Parques</t>
  </si>
  <si>
    <t>Infraestructuras</t>
  </si>
  <si>
    <t>Habilitacion / mantenimiento Oficinas (inversión)</t>
  </si>
  <si>
    <t>Construccion y equipamiento de centros de control y vigilancia (inversión)</t>
  </si>
  <si>
    <t>Mantenimiento de instalaciones existentes</t>
  </si>
  <si>
    <t xml:space="preserve">Mobiliarios y Equipos </t>
  </si>
  <si>
    <t>Radios base</t>
  </si>
  <si>
    <t>Radios moviles</t>
  </si>
  <si>
    <t>Sistema energia fotovoltaica (paneles, inversores, reguladores de carga, baterias y accesorios para instalacion)</t>
  </si>
  <si>
    <t>Instalacion y modernizacion del Sistema de comunicación por radio</t>
  </si>
  <si>
    <t>Medios de transporte</t>
  </si>
  <si>
    <t>Vehículo tipo Camioneta de doble cabina</t>
  </si>
  <si>
    <t>Vehículo tipo Camioneta de una cabina</t>
  </si>
  <si>
    <t>2. Apoyo a la Delimitacion fisica de areas protegidas (inversion)</t>
  </si>
  <si>
    <t>Instalacion de bornes (inversion)</t>
  </si>
  <si>
    <t>3. Fortalecimiento programa contra incendios</t>
  </si>
  <si>
    <t>Mantenimiento de caminos/lineas cortafuegos (inversion)</t>
  </si>
  <si>
    <t>Construccion y habilitacion de estacion de bomberos</t>
  </si>
  <si>
    <t>km</t>
  </si>
  <si>
    <t>4. Apoyo al ecoturismo local (inversion)</t>
  </si>
  <si>
    <t xml:space="preserve">Mantenimiento de senderos </t>
  </si>
  <si>
    <t>Levantamiento, diseño e instalacion de señalizacion</t>
  </si>
  <si>
    <t>5. Elaboracion y/o actualizacion planes de manejo</t>
  </si>
  <si>
    <t>Consultorias</t>
  </si>
  <si>
    <t>Evaluacion biodiversidad y monitoreo biologico</t>
  </si>
  <si>
    <t>Talleres de socializacion/validacion del plan</t>
  </si>
  <si>
    <t>Publicacion y divulgacion</t>
  </si>
  <si>
    <t>estudio</t>
  </si>
  <si>
    <t>Documento</t>
  </si>
  <si>
    <t>6. Educacion ambiental</t>
  </si>
  <si>
    <t>Sensibilizacion / comunicacion</t>
  </si>
  <si>
    <t>Varios servicios</t>
  </si>
  <si>
    <t>7. Puesta en Funcionamiento de oficinas de gestion</t>
  </si>
  <si>
    <t>8. Funcionamiento de medios de transporte</t>
  </si>
  <si>
    <t>Viaticos viaje al campo</t>
  </si>
  <si>
    <t>Uniformes completos para guardaparques (bota, pantalon y camisa)</t>
  </si>
  <si>
    <t xml:space="preserve">9. Recursos Humanos </t>
  </si>
  <si>
    <t>Persona</t>
  </si>
  <si>
    <t>Curso Básico para Guardaparques</t>
  </si>
  <si>
    <t>Cursos / talleres de Guias Ecoturisticos a comunitarios</t>
  </si>
  <si>
    <t>10. Actividades de Capacitacion</t>
  </si>
  <si>
    <t>Curso</t>
  </si>
  <si>
    <t>Inflacion</t>
  </si>
  <si>
    <t>Factor</t>
  </si>
  <si>
    <t>11. Contingencias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</si>
</sst>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5" formatCode="&quot;$&quot;#,##0.00"/>
    <numFmt numFmtId="166" formatCode="&quot;$&quot;#,##0.0"/>
    <numFmt numFmtId="167" formatCode="&quot;$&quot;#,##0"/>
    <numFmt numFmtId="169" formatCode="_-* #,##0.00_-;\-* #,##0.00_-;_-* &quot;-&quot;??_-;_-@_-"/>
    <numFmt numFmtId="173" formatCode="#,##0.00\ &quot;€&quot;"/>
    <numFmt numFmtId="181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169" fontId="1" fillId="0" borderId="0" applyFont="0" applyFill="0" applyBorder="0" applyAlignment="0" applyProtection="0"/>
    <xf numFmtId="0" fontId="6" fillId="0" borderId="0"/>
    <xf numFmtId="0" fontId="6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4" xfId="0" applyFont="1" applyBorder="1"/>
    <xf numFmtId="0" fontId="4" fillId="0" borderId="4" xfId="0" applyFont="1" applyBorder="1"/>
    <xf numFmtId="167" fontId="4" fillId="0" borderId="4" xfId="0" applyNumberFormat="1" applyFont="1" applyFill="1" applyBorder="1"/>
    <xf numFmtId="0" fontId="4" fillId="0" borderId="4" xfId="0" applyFont="1" applyFill="1" applyBorder="1"/>
    <xf numFmtId="167" fontId="0" fillId="0" borderId="0" xfId="0" applyNumberFormat="1" applyBorder="1"/>
    <xf numFmtId="0" fontId="4" fillId="0" borderId="4" xfId="0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181" fontId="4" fillId="0" borderId="4" xfId="0" applyNumberFormat="1" applyFont="1" applyBorder="1" applyAlignment="1">
      <alignment horizontal="center"/>
    </xf>
    <xf numFmtId="165" fontId="4" fillId="0" borderId="0" xfId="0" applyNumberFormat="1" applyFont="1"/>
    <xf numFmtId="167" fontId="2" fillId="0" borderId="4" xfId="0" applyNumberFormat="1" applyFont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167" fontId="4" fillId="0" borderId="1" xfId="0" applyNumberFormat="1" applyFont="1" applyFill="1" applyBorder="1"/>
    <xf numFmtId="0" fontId="4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/>
    <xf numFmtId="165" fontId="4" fillId="0" borderId="1" xfId="0" applyNumberFormat="1" applyFont="1" applyFill="1" applyBorder="1"/>
    <xf numFmtId="166" fontId="4" fillId="0" borderId="1" xfId="0" applyNumberFormat="1" applyFont="1" applyFill="1" applyBorder="1"/>
    <xf numFmtId="1" fontId="4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67" fontId="2" fillId="0" borderId="1" xfId="0" applyNumberFormat="1" applyFont="1" applyFill="1" applyBorder="1"/>
  </cellXfs>
  <cellStyles count="11">
    <cellStyle name="Comma 2" xfId="3"/>
    <cellStyle name="Millares 2" xfId="9"/>
    <cellStyle name="Millares 3" xfId="10"/>
    <cellStyle name="Millares 9 2" xfId="6"/>
    <cellStyle name="Millares 9 4" xfId="7"/>
    <cellStyle name="Normal" xfId="0" builtinId="0"/>
    <cellStyle name="Normal 140" xfId="5"/>
    <cellStyle name="Normal 17 10" xfId="4"/>
    <cellStyle name="Normal 2" xfId="8"/>
    <cellStyle name="Normal 2 2 2" xfId="2"/>
    <cellStyle name="Normal 3" xfId="1"/>
  </cellStyles>
  <dxfs count="0"/>
  <tableStyles count="0" defaultTableStyle="TableStyleMedium2" defaultPivotStyle="PivotStyleLight16"/>
  <colors>
    <mruColors>
      <color rgb="FF9751CB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"/>
  <sheetViews>
    <sheetView workbookViewId="0">
      <selection activeCell="Q5" sqref="Q5"/>
    </sheetView>
  </sheetViews>
  <sheetFormatPr baseColWidth="10" defaultColWidth="8.88671875" defaultRowHeight="14.4" x14ac:dyDescent="0.3"/>
  <cols>
    <col min="3" max="3" width="5" bestFit="1" customWidth="1"/>
    <col min="4" max="7" width="6.5546875" bestFit="1" customWidth="1"/>
    <col min="8" max="8" width="10.109375" bestFit="1" customWidth="1"/>
  </cols>
  <sheetData>
    <row r="2" spans="2:18" x14ac:dyDescent="0.3">
      <c r="B2" s="7" t="s">
        <v>0</v>
      </c>
      <c r="C2" s="7">
        <v>15.9</v>
      </c>
    </row>
    <row r="3" spans="2:18" x14ac:dyDescent="0.3">
      <c r="B3" s="7" t="s">
        <v>1</v>
      </c>
      <c r="C3" s="7">
        <v>51.5</v>
      </c>
    </row>
    <row r="4" spans="2:18" x14ac:dyDescent="0.3">
      <c r="N4" s="5"/>
      <c r="O4" s="5"/>
      <c r="P4" s="5"/>
      <c r="Q4" s="5"/>
      <c r="R4" s="5"/>
    </row>
    <row r="5" spans="2:18" x14ac:dyDescent="0.3">
      <c r="N5" s="5"/>
      <c r="O5" s="5"/>
      <c r="P5" s="5"/>
      <c r="Q5" s="5"/>
      <c r="R5" s="5"/>
    </row>
    <row r="6" spans="2:18" x14ac:dyDescent="0.3">
      <c r="B6" s="6" t="s">
        <v>87</v>
      </c>
      <c r="C6" s="6">
        <v>2021</v>
      </c>
      <c r="D6" s="6">
        <v>2022</v>
      </c>
      <c r="E6" s="6">
        <v>2023</v>
      </c>
      <c r="F6" s="6">
        <v>2024</v>
      </c>
      <c r="G6" s="6">
        <v>2025</v>
      </c>
      <c r="N6" s="5"/>
      <c r="O6" s="5"/>
      <c r="P6" s="5"/>
      <c r="Q6" s="5"/>
      <c r="R6" s="5"/>
    </row>
    <row r="7" spans="2:18" x14ac:dyDescent="0.3">
      <c r="B7" s="7"/>
      <c r="C7" s="11"/>
      <c r="D7" s="12">
        <v>0.04</v>
      </c>
      <c r="E7" s="12">
        <v>0.04</v>
      </c>
      <c r="F7" s="12">
        <v>0.04</v>
      </c>
      <c r="G7" s="12">
        <v>0.04</v>
      </c>
      <c r="N7" s="5"/>
      <c r="O7" s="5"/>
      <c r="P7" s="5"/>
      <c r="Q7" s="5"/>
      <c r="R7" s="5"/>
    </row>
    <row r="8" spans="2:18" x14ac:dyDescent="0.3">
      <c r="B8" s="7" t="s">
        <v>88</v>
      </c>
      <c r="C8" s="11">
        <v>1</v>
      </c>
      <c r="D8" s="13">
        <f>C8+D7</f>
        <v>1.04</v>
      </c>
      <c r="E8" s="13">
        <f>D8*(1+E7)</f>
        <v>1.0816000000000001</v>
      </c>
      <c r="F8" s="13">
        <f>E8*(1+F7)</f>
        <v>1.1248640000000001</v>
      </c>
      <c r="G8" s="13">
        <f>F8*(1+G7)</f>
        <v>1.1698585600000002</v>
      </c>
      <c r="N8" s="5"/>
      <c r="O8" s="5"/>
      <c r="P8" s="5"/>
      <c r="Q8" s="5"/>
      <c r="R8" s="5"/>
    </row>
    <row r="9" spans="2:18" x14ac:dyDescent="0.3">
      <c r="N9" s="5"/>
      <c r="O9" s="10"/>
      <c r="P9" s="5"/>
      <c r="Q9" s="5"/>
      <c r="R9" s="5"/>
    </row>
    <row r="10" spans="2:18" x14ac:dyDescent="0.3">
      <c r="N10" s="5"/>
      <c r="O10" s="10"/>
      <c r="P10" s="5"/>
      <c r="Q10" s="5"/>
      <c r="R10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zoomScale="85" zoomScaleNormal="85" workbookViewId="0">
      <selection activeCell="B17" sqref="B17"/>
    </sheetView>
  </sheetViews>
  <sheetFormatPr baseColWidth="10" defaultColWidth="9.109375" defaultRowHeight="13.8" x14ac:dyDescent="0.25"/>
  <cols>
    <col min="1" max="1" width="39" style="3" customWidth="1"/>
    <col min="2" max="2" width="12.6640625" style="3" customWidth="1"/>
    <col min="3" max="3" width="13.33203125" style="3" customWidth="1"/>
    <col min="4" max="4" width="10" style="3" bestFit="1" customWidth="1"/>
    <col min="5" max="5" width="10.44140625" style="3" customWidth="1"/>
    <col min="6" max="6" width="12.44140625" style="3" customWidth="1"/>
    <col min="7" max="7" width="8.44140625" style="3" customWidth="1"/>
    <col min="8" max="10" width="6.33203125" style="3" customWidth="1"/>
    <col min="11" max="11" width="7.5546875" style="3" customWidth="1"/>
    <col min="12" max="13" width="10.88671875" style="3" customWidth="1"/>
    <col min="14" max="14" width="15.5546875" style="3" customWidth="1"/>
    <col min="15" max="15" width="11.88671875" style="3" customWidth="1"/>
    <col min="16" max="16" width="10.88671875" style="3" customWidth="1"/>
    <col min="17" max="17" width="11.6640625" style="3" customWidth="1"/>
    <col min="18" max="18" width="18.5546875" style="3" customWidth="1"/>
    <col min="19" max="19" width="15.109375" style="3" customWidth="1"/>
    <col min="20" max="20" width="13.21875" style="3" customWidth="1"/>
    <col min="21" max="21" width="15.77734375" style="3" customWidth="1"/>
    <col min="22" max="22" width="13" style="3" customWidth="1"/>
    <col min="23" max="23" width="17" style="3" customWidth="1"/>
    <col min="24" max="24" width="10.88671875" style="3" bestFit="1" customWidth="1"/>
    <col min="25" max="25" width="11.21875" style="3" bestFit="1" customWidth="1"/>
    <col min="26" max="26" width="14" style="3" customWidth="1"/>
    <col min="27" max="28" width="11.77734375" style="3" customWidth="1"/>
    <col min="29" max="16384" width="9.109375" style="3"/>
  </cols>
  <sheetData>
    <row r="1" spans="1:23" ht="18" x14ac:dyDescent="0.35">
      <c r="A1" s="2" t="s">
        <v>44</v>
      </c>
    </row>
    <row r="2" spans="1:23" x14ac:dyDescent="0.25">
      <c r="A2" s="20" t="s">
        <v>16</v>
      </c>
      <c r="B2" s="22" t="s">
        <v>2</v>
      </c>
      <c r="C2" s="20" t="s">
        <v>17</v>
      </c>
      <c r="D2" s="23" t="s">
        <v>3</v>
      </c>
      <c r="E2" s="20" t="s">
        <v>13</v>
      </c>
      <c r="F2" s="20" t="s">
        <v>4</v>
      </c>
      <c r="G2" s="21" t="s">
        <v>5</v>
      </c>
      <c r="H2" s="21"/>
      <c r="I2" s="21"/>
      <c r="J2" s="21"/>
      <c r="K2" s="21"/>
      <c r="L2" s="21" t="s">
        <v>14</v>
      </c>
      <c r="M2" s="21"/>
      <c r="N2" s="21"/>
      <c r="O2" s="21"/>
      <c r="P2" s="21"/>
      <c r="Q2" s="20" t="s">
        <v>15</v>
      </c>
      <c r="R2" s="21" t="s">
        <v>6</v>
      </c>
      <c r="S2" s="21"/>
      <c r="T2" s="21"/>
      <c r="U2" s="21"/>
      <c r="V2" s="21"/>
      <c r="W2" s="20" t="s">
        <v>7</v>
      </c>
    </row>
    <row r="3" spans="1:23" x14ac:dyDescent="0.25">
      <c r="A3" s="20"/>
      <c r="B3" s="22"/>
      <c r="C3" s="20"/>
      <c r="D3" s="24"/>
      <c r="E3" s="20"/>
      <c r="F3" s="20"/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20"/>
      <c r="R3" s="4" t="s">
        <v>8</v>
      </c>
      <c r="S3" s="4" t="s">
        <v>9</v>
      </c>
      <c r="T3" s="4" t="s">
        <v>10</v>
      </c>
      <c r="U3" s="4" t="s">
        <v>11</v>
      </c>
      <c r="V3" s="4" t="s">
        <v>12</v>
      </c>
      <c r="W3" s="20"/>
    </row>
    <row r="4" spans="1:23" x14ac:dyDescent="0.25">
      <c r="A4" s="25" t="s">
        <v>45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x14ac:dyDescent="0.25">
      <c r="A5" s="25" t="s">
        <v>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x14ac:dyDescent="0.25">
      <c r="A6" s="19" t="s">
        <v>47</v>
      </c>
      <c r="B6" s="19">
        <v>12</v>
      </c>
      <c r="C6" s="19" t="s">
        <v>17</v>
      </c>
      <c r="D6" s="19"/>
      <c r="E6" s="18">
        <f>0.95*80000</f>
        <v>76000</v>
      </c>
      <c r="F6" s="18">
        <f>E6/Parametros!$C$3</f>
        <v>1475.7281553398059</v>
      </c>
      <c r="G6" s="19">
        <f>B6</f>
        <v>12</v>
      </c>
      <c r="H6" s="19">
        <v>0</v>
      </c>
      <c r="I6" s="19">
        <v>0</v>
      </c>
      <c r="J6" s="19">
        <v>0</v>
      </c>
      <c r="K6" s="19">
        <v>0</v>
      </c>
      <c r="L6" s="18">
        <f>$E$6*G6</f>
        <v>912000</v>
      </c>
      <c r="M6" s="18">
        <f>$E$6*H6</f>
        <v>0</v>
      </c>
      <c r="N6" s="18">
        <f>$E$6*I6</f>
        <v>0</v>
      </c>
      <c r="O6" s="18">
        <f>$E$6*J6</f>
        <v>0</v>
      </c>
      <c r="P6" s="18">
        <f>$E$6*K6</f>
        <v>0</v>
      </c>
      <c r="Q6" s="18">
        <f>SUM(L6:P6)</f>
        <v>912000</v>
      </c>
      <c r="R6" s="18">
        <f>$F$6*G6</f>
        <v>17708.73786407767</v>
      </c>
      <c r="S6" s="18">
        <f>$F$6*H6</f>
        <v>0</v>
      </c>
      <c r="T6" s="18">
        <f>$F$6*I6</f>
        <v>0</v>
      </c>
      <c r="U6" s="18">
        <f>$F$6*J6</f>
        <v>0</v>
      </c>
      <c r="V6" s="18">
        <f>$F$6*K6</f>
        <v>0</v>
      </c>
      <c r="W6" s="18">
        <f>SUM(R6:V6)</f>
        <v>17708.73786407767</v>
      </c>
    </row>
    <row r="7" spans="1:23" x14ac:dyDescent="0.25">
      <c r="A7" s="19" t="s">
        <v>48</v>
      </c>
      <c r="B7" s="19">
        <v>15</v>
      </c>
      <c r="C7" s="19" t="s">
        <v>17</v>
      </c>
      <c r="D7" s="19"/>
      <c r="E7" s="18">
        <f>0.95*1500000</f>
        <v>1425000</v>
      </c>
      <c r="F7" s="18">
        <f>E7/Parametros!$C$3</f>
        <v>27669.902912621361</v>
      </c>
      <c r="G7" s="19">
        <v>15</v>
      </c>
      <c r="H7" s="19">
        <v>0</v>
      </c>
      <c r="I7" s="19">
        <v>0</v>
      </c>
      <c r="J7" s="19">
        <v>0</v>
      </c>
      <c r="K7" s="19">
        <v>0</v>
      </c>
      <c r="L7" s="18">
        <f>$E$7*G7</f>
        <v>21375000</v>
      </c>
      <c r="M7" s="18">
        <f>$E$7*H7</f>
        <v>0</v>
      </c>
      <c r="N7" s="18">
        <f>$E$7*I7</f>
        <v>0</v>
      </c>
      <c r="O7" s="18">
        <f>$E$7*J7</f>
        <v>0</v>
      </c>
      <c r="P7" s="18">
        <f>$E$7*K7</f>
        <v>0</v>
      </c>
      <c r="Q7" s="18">
        <f>SUM(L7:P7)</f>
        <v>21375000</v>
      </c>
      <c r="R7" s="18">
        <f>$F$7*G7</f>
        <v>415048.54368932039</v>
      </c>
      <c r="S7" s="26">
        <f>$F$7*H7</f>
        <v>0</v>
      </c>
      <c r="T7" s="26">
        <f>$F$7*I7</f>
        <v>0</v>
      </c>
      <c r="U7" s="26">
        <f>$F$7*J7</f>
        <v>0</v>
      </c>
      <c r="V7" s="26">
        <f>$F$7*K7</f>
        <v>0</v>
      </c>
      <c r="W7" s="18">
        <f>SUM(R7:V7)</f>
        <v>415048.54368932039</v>
      </c>
    </row>
    <row r="8" spans="1:23" x14ac:dyDescent="0.25">
      <c r="A8" s="19" t="s">
        <v>49</v>
      </c>
      <c r="B8" s="19">
        <v>61</v>
      </c>
      <c r="C8" s="19" t="s">
        <v>17</v>
      </c>
      <c r="D8" s="19"/>
      <c r="E8" s="18">
        <f>0.95*150000</f>
        <v>142500</v>
      </c>
      <c r="F8" s="18">
        <f>E8/Parametros!$C$3</f>
        <v>2766.990291262136</v>
      </c>
      <c r="G8" s="19">
        <f>B8</f>
        <v>61</v>
      </c>
      <c r="H8" s="19">
        <v>0</v>
      </c>
      <c r="I8" s="19">
        <v>0</v>
      </c>
      <c r="J8" s="19">
        <v>0</v>
      </c>
      <c r="K8" s="19">
        <v>0</v>
      </c>
      <c r="L8" s="18">
        <f>$E$8*G8</f>
        <v>8692500</v>
      </c>
      <c r="M8" s="18">
        <f>$E$8*H8</f>
        <v>0</v>
      </c>
      <c r="N8" s="18">
        <f>$E$8*I8</f>
        <v>0</v>
      </c>
      <c r="O8" s="18">
        <f>$E$8*J8</f>
        <v>0</v>
      </c>
      <c r="P8" s="18">
        <f>$E$8*K8</f>
        <v>0</v>
      </c>
      <c r="Q8" s="18">
        <f>SUM(L8:P8)</f>
        <v>8692500</v>
      </c>
      <c r="R8" s="18">
        <f>$F$8*G8</f>
        <v>168786.40776699031</v>
      </c>
      <c r="S8" s="26">
        <f>$F$8*H8</f>
        <v>0</v>
      </c>
      <c r="T8" s="26">
        <f>$F$8*I8</f>
        <v>0</v>
      </c>
      <c r="U8" s="26">
        <f>$F$8*J8</f>
        <v>0</v>
      </c>
      <c r="V8" s="26">
        <f>$F$8*K8</f>
        <v>0</v>
      </c>
      <c r="W8" s="18">
        <f>SUM(R8:V8)</f>
        <v>168786.40776699031</v>
      </c>
    </row>
    <row r="9" spans="1:23" x14ac:dyDescent="0.25">
      <c r="A9" s="25" t="s">
        <v>50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x14ac:dyDescent="0.25">
      <c r="A10" s="19" t="s">
        <v>19</v>
      </c>
      <c r="B10" s="19">
        <v>12</v>
      </c>
      <c r="C10" s="19" t="s">
        <v>17</v>
      </c>
      <c r="D10" s="19"/>
      <c r="E10" s="18">
        <f>0.95*40000</f>
        <v>38000</v>
      </c>
      <c r="F10" s="18">
        <f>E10/Parametros!$C$3</f>
        <v>737.86407766990294</v>
      </c>
      <c r="G10" s="19">
        <f>B10</f>
        <v>12</v>
      </c>
      <c r="H10" s="19">
        <v>0</v>
      </c>
      <c r="I10" s="19">
        <v>0</v>
      </c>
      <c r="J10" s="19">
        <v>0</v>
      </c>
      <c r="K10" s="19">
        <v>0</v>
      </c>
      <c r="L10" s="18">
        <f>$E$10*G10</f>
        <v>456000</v>
      </c>
      <c r="M10" s="18">
        <f>$E$10*H10</f>
        <v>0</v>
      </c>
      <c r="N10" s="18">
        <f>$E$10*I10</f>
        <v>0</v>
      </c>
      <c r="O10" s="18">
        <f>$E$10*J10</f>
        <v>0</v>
      </c>
      <c r="P10" s="18">
        <f>$E$10*K10</f>
        <v>0</v>
      </c>
      <c r="Q10" s="18">
        <f>SUM(L10:P10)</f>
        <v>456000</v>
      </c>
      <c r="R10" s="18">
        <f>$F$10*G10</f>
        <v>8854.3689320388348</v>
      </c>
      <c r="S10" s="18">
        <f>$F$10*H10</f>
        <v>0</v>
      </c>
      <c r="T10" s="18">
        <f>$F$10*I10</f>
        <v>0</v>
      </c>
      <c r="U10" s="18">
        <f>$F$10*J10</f>
        <v>0</v>
      </c>
      <c r="V10" s="18">
        <f>$F$10*K10</f>
        <v>0</v>
      </c>
      <c r="W10" s="18">
        <f>SUM(R10:V10)</f>
        <v>8854.3689320388348</v>
      </c>
    </row>
    <row r="11" spans="1:23" x14ac:dyDescent="0.25">
      <c r="A11" s="19" t="s">
        <v>20</v>
      </c>
      <c r="B11" s="19">
        <v>12</v>
      </c>
      <c r="C11" s="19" t="s">
        <v>17</v>
      </c>
      <c r="D11" s="19"/>
      <c r="E11" s="18">
        <f>0.95*8000</f>
        <v>7600</v>
      </c>
      <c r="F11" s="18">
        <f>E11/Parametros!$C$3</f>
        <v>147.57281553398059</v>
      </c>
      <c r="G11" s="19">
        <f t="shared" ref="G11:G17" si="0">B11</f>
        <v>12</v>
      </c>
      <c r="H11" s="19">
        <v>0</v>
      </c>
      <c r="I11" s="19">
        <v>0</v>
      </c>
      <c r="J11" s="19">
        <v>0</v>
      </c>
      <c r="K11" s="19">
        <v>0</v>
      </c>
      <c r="L11" s="18">
        <f>$E$11*G11</f>
        <v>91200</v>
      </c>
      <c r="M11" s="18">
        <f>$E$11*H11</f>
        <v>0</v>
      </c>
      <c r="N11" s="18">
        <f>$E$11*I11</f>
        <v>0</v>
      </c>
      <c r="O11" s="18">
        <f>$E$11*J11</f>
        <v>0</v>
      </c>
      <c r="P11" s="18">
        <f>$E$11*K11</f>
        <v>0</v>
      </c>
      <c r="Q11" s="18">
        <f t="shared" ref="Q11:Q17" si="1">SUM(L11:P11)</f>
        <v>91200</v>
      </c>
      <c r="R11" s="18">
        <f>$F$11*G11</f>
        <v>1770.8737864077671</v>
      </c>
      <c r="S11" s="18">
        <f>$F$11*H11</f>
        <v>0</v>
      </c>
      <c r="T11" s="18">
        <f>$F$11*I11</f>
        <v>0</v>
      </c>
      <c r="U11" s="18">
        <f>$F$11*J11</f>
        <v>0</v>
      </c>
      <c r="V11" s="18">
        <f>$F$11*K11</f>
        <v>0</v>
      </c>
      <c r="W11" s="18">
        <f t="shared" ref="W11:W17" si="2">SUM(R11:V11)</f>
        <v>1770.8737864077671</v>
      </c>
    </row>
    <row r="12" spans="1:23" x14ac:dyDescent="0.25">
      <c r="A12" s="19" t="s">
        <v>21</v>
      </c>
      <c r="B12" s="19">
        <v>60</v>
      </c>
      <c r="C12" s="19" t="s">
        <v>17</v>
      </c>
      <c r="D12" s="19"/>
      <c r="E12" s="18">
        <f>0.95*2000</f>
        <v>1900</v>
      </c>
      <c r="F12" s="18">
        <f>E12/Parametros!$C$3</f>
        <v>36.893203883495147</v>
      </c>
      <c r="G12" s="19">
        <f t="shared" si="0"/>
        <v>60</v>
      </c>
      <c r="H12" s="19">
        <v>0</v>
      </c>
      <c r="I12" s="19">
        <v>0</v>
      </c>
      <c r="J12" s="19">
        <v>0</v>
      </c>
      <c r="K12" s="19">
        <v>0</v>
      </c>
      <c r="L12" s="18">
        <f>$E$12*G12</f>
        <v>114000</v>
      </c>
      <c r="M12" s="18">
        <f>$E$12*H12</f>
        <v>0</v>
      </c>
      <c r="N12" s="18">
        <f>$E$12*I12</f>
        <v>0</v>
      </c>
      <c r="O12" s="18">
        <f>$E$12*J12</f>
        <v>0</v>
      </c>
      <c r="P12" s="18">
        <f>$E$12*K12</f>
        <v>0</v>
      </c>
      <c r="Q12" s="18">
        <f t="shared" si="1"/>
        <v>114000</v>
      </c>
      <c r="R12" s="18">
        <f>$F$12*G12</f>
        <v>2213.5922330097087</v>
      </c>
      <c r="S12" s="18">
        <f>$F$12*H12</f>
        <v>0</v>
      </c>
      <c r="T12" s="18">
        <f>$F$12*I12</f>
        <v>0</v>
      </c>
      <c r="U12" s="18">
        <f>$F$12*J12</f>
        <v>0</v>
      </c>
      <c r="V12" s="18">
        <f>$F$12*K12</f>
        <v>0</v>
      </c>
      <c r="W12" s="18">
        <f t="shared" si="2"/>
        <v>2213.5922330097087</v>
      </c>
    </row>
    <row r="13" spans="1:23" x14ac:dyDescent="0.25">
      <c r="A13" s="19" t="s">
        <v>22</v>
      </c>
      <c r="B13" s="19">
        <v>10</v>
      </c>
      <c r="C13" s="19" t="s">
        <v>17</v>
      </c>
      <c r="D13" s="19"/>
      <c r="E13" s="18">
        <f>0.95*40000</f>
        <v>38000</v>
      </c>
      <c r="F13" s="18">
        <f>E13/Parametros!$C$3</f>
        <v>737.86407766990294</v>
      </c>
      <c r="G13" s="19">
        <f t="shared" si="0"/>
        <v>10</v>
      </c>
      <c r="H13" s="19">
        <v>0</v>
      </c>
      <c r="I13" s="19">
        <v>0</v>
      </c>
      <c r="J13" s="19">
        <v>0</v>
      </c>
      <c r="K13" s="19">
        <v>0</v>
      </c>
      <c r="L13" s="18">
        <f>$E$13*G13</f>
        <v>380000</v>
      </c>
      <c r="M13" s="18">
        <f>$E$13*H13</f>
        <v>0</v>
      </c>
      <c r="N13" s="18">
        <f>$E$13*I13</f>
        <v>0</v>
      </c>
      <c r="O13" s="18">
        <f>$E$13*J13</f>
        <v>0</v>
      </c>
      <c r="P13" s="18">
        <f>$E$13*K13</f>
        <v>0</v>
      </c>
      <c r="Q13" s="18">
        <f t="shared" si="1"/>
        <v>380000</v>
      </c>
      <c r="R13" s="18">
        <f>$F$13*G13</f>
        <v>7378.6407766990296</v>
      </c>
      <c r="S13" s="18">
        <f>$F$13*H13</f>
        <v>0</v>
      </c>
      <c r="T13" s="18">
        <f>$F$13*I13</f>
        <v>0</v>
      </c>
      <c r="U13" s="18">
        <f>$F$13*J13</f>
        <v>0</v>
      </c>
      <c r="V13" s="18">
        <f>$F$13*K13</f>
        <v>0</v>
      </c>
      <c r="W13" s="18">
        <f t="shared" si="2"/>
        <v>7378.6407766990296</v>
      </c>
    </row>
    <row r="14" spans="1:23" x14ac:dyDescent="0.25">
      <c r="A14" s="19" t="s">
        <v>23</v>
      </c>
      <c r="B14" s="19">
        <v>6</v>
      </c>
      <c r="C14" s="19" t="s">
        <v>17</v>
      </c>
      <c r="D14" s="19"/>
      <c r="E14" s="18">
        <f>0.95*40000</f>
        <v>38000</v>
      </c>
      <c r="F14" s="18">
        <f>E14/Parametros!$C$3</f>
        <v>737.86407766990294</v>
      </c>
      <c r="G14" s="19">
        <f t="shared" si="0"/>
        <v>6</v>
      </c>
      <c r="H14" s="19">
        <v>0</v>
      </c>
      <c r="I14" s="19">
        <v>0</v>
      </c>
      <c r="J14" s="19">
        <v>0</v>
      </c>
      <c r="K14" s="19">
        <v>0</v>
      </c>
      <c r="L14" s="18">
        <f>$E$14*G14</f>
        <v>228000</v>
      </c>
      <c r="M14" s="18">
        <f>$E$14*H14</f>
        <v>0</v>
      </c>
      <c r="N14" s="18">
        <f>$E$14*I14</f>
        <v>0</v>
      </c>
      <c r="O14" s="18">
        <f>$E$14*J14</f>
        <v>0</v>
      </c>
      <c r="P14" s="18">
        <f>$E$14*K14</f>
        <v>0</v>
      </c>
      <c r="Q14" s="18">
        <f t="shared" si="1"/>
        <v>228000</v>
      </c>
      <c r="R14" s="18">
        <f>$F$14*G14</f>
        <v>4427.1844660194174</v>
      </c>
      <c r="S14" s="18">
        <f>$F$14*H14</f>
        <v>0</v>
      </c>
      <c r="T14" s="18">
        <f>$F$14*I14</f>
        <v>0</v>
      </c>
      <c r="U14" s="18">
        <f>$F$14*J14</f>
        <v>0</v>
      </c>
      <c r="V14" s="18">
        <f>$F$14*K14</f>
        <v>0</v>
      </c>
      <c r="W14" s="18">
        <f t="shared" si="2"/>
        <v>4427.1844660194174</v>
      </c>
    </row>
    <row r="15" spans="1:23" x14ac:dyDescent="0.25">
      <c r="A15" s="19" t="s">
        <v>24</v>
      </c>
      <c r="B15" s="19">
        <v>10</v>
      </c>
      <c r="C15" s="19" t="s">
        <v>17</v>
      </c>
      <c r="D15" s="19"/>
      <c r="E15" s="18">
        <f>0.95*8000</f>
        <v>7600</v>
      </c>
      <c r="F15" s="18">
        <f>E15/Parametros!$C$3</f>
        <v>147.57281553398059</v>
      </c>
      <c r="G15" s="19">
        <f t="shared" si="0"/>
        <v>10</v>
      </c>
      <c r="H15" s="19">
        <v>0</v>
      </c>
      <c r="I15" s="19">
        <v>0</v>
      </c>
      <c r="J15" s="19">
        <v>0</v>
      </c>
      <c r="K15" s="19">
        <v>0</v>
      </c>
      <c r="L15" s="18">
        <f>$E$15*G15</f>
        <v>76000</v>
      </c>
      <c r="M15" s="18">
        <f>$E$15*H15</f>
        <v>0</v>
      </c>
      <c r="N15" s="18">
        <f>$E$15*I15</f>
        <v>0</v>
      </c>
      <c r="O15" s="18">
        <f>$E$15*J15</f>
        <v>0</v>
      </c>
      <c r="P15" s="18">
        <f>$E$15*K15</f>
        <v>0</v>
      </c>
      <c r="Q15" s="18">
        <f t="shared" si="1"/>
        <v>76000</v>
      </c>
      <c r="R15" s="18">
        <f>$F$15*G15</f>
        <v>1475.7281553398059</v>
      </c>
      <c r="S15" s="18">
        <f>$F$15*H15</f>
        <v>0</v>
      </c>
      <c r="T15" s="18">
        <f>$F$15*I15</f>
        <v>0</v>
      </c>
      <c r="U15" s="18">
        <f>$F$15*J15</f>
        <v>0</v>
      </c>
      <c r="V15" s="18">
        <f>$F$15*K15</f>
        <v>0</v>
      </c>
      <c r="W15" s="18">
        <f t="shared" si="2"/>
        <v>1475.7281553398059</v>
      </c>
    </row>
    <row r="16" spans="1:23" x14ac:dyDescent="0.25">
      <c r="A16" s="19" t="s">
        <v>25</v>
      </c>
      <c r="B16" s="19">
        <v>15</v>
      </c>
      <c r="C16" s="19" t="s">
        <v>17</v>
      </c>
      <c r="D16" s="19"/>
      <c r="E16" s="18">
        <f>0.95*10000</f>
        <v>9500</v>
      </c>
      <c r="F16" s="18">
        <f>E16/Parametros!$C$3</f>
        <v>184.46601941747574</v>
      </c>
      <c r="G16" s="19">
        <f t="shared" si="0"/>
        <v>15</v>
      </c>
      <c r="H16" s="19">
        <v>0</v>
      </c>
      <c r="I16" s="19">
        <v>0</v>
      </c>
      <c r="J16" s="19">
        <v>0</v>
      </c>
      <c r="K16" s="19">
        <v>0</v>
      </c>
      <c r="L16" s="18">
        <f>$E$16*G16</f>
        <v>142500</v>
      </c>
      <c r="M16" s="18">
        <f>$E$16*H16</f>
        <v>0</v>
      </c>
      <c r="N16" s="18">
        <f>$E$16*I16</f>
        <v>0</v>
      </c>
      <c r="O16" s="18">
        <f>$E$16*J16</f>
        <v>0</v>
      </c>
      <c r="P16" s="18">
        <f>$E$16*K16</f>
        <v>0</v>
      </c>
      <c r="Q16" s="18">
        <f t="shared" si="1"/>
        <v>142500</v>
      </c>
      <c r="R16" s="18">
        <f>$F$16*G16</f>
        <v>2766.990291262136</v>
      </c>
      <c r="S16" s="18">
        <f>$F$16*H16</f>
        <v>0</v>
      </c>
      <c r="T16" s="18">
        <f>$F$16*I16</f>
        <v>0</v>
      </c>
      <c r="U16" s="18">
        <f>$F$16*J16</f>
        <v>0</v>
      </c>
      <c r="V16" s="18">
        <f>$F$16*K16</f>
        <v>0</v>
      </c>
      <c r="W16" s="18">
        <f t="shared" si="2"/>
        <v>2766.990291262136</v>
      </c>
    </row>
    <row r="17" spans="1:23" x14ac:dyDescent="0.25">
      <c r="A17" s="19" t="s">
        <v>26</v>
      </c>
      <c r="B17" s="19">
        <v>36</v>
      </c>
      <c r="C17" s="19" t="s">
        <v>17</v>
      </c>
      <c r="D17" s="19"/>
      <c r="E17" s="18">
        <f>0.95*20000</f>
        <v>19000</v>
      </c>
      <c r="F17" s="18">
        <f>E17/Parametros!$C$3</f>
        <v>368.93203883495147</v>
      </c>
      <c r="G17" s="19">
        <f t="shared" si="0"/>
        <v>36</v>
      </c>
      <c r="H17" s="19">
        <v>0</v>
      </c>
      <c r="I17" s="19">
        <v>0</v>
      </c>
      <c r="J17" s="19">
        <v>0</v>
      </c>
      <c r="K17" s="19">
        <v>0</v>
      </c>
      <c r="L17" s="18">
        <f>$E$17*G17</f>
        <v>684000</v>
      </c>
      <c r="M17" s="18">
        <f>$E$17*H17</f>
        <v>0</v>
      </c>
      <c r="N17" s="18">
        <f>$E$17*I17</f>
        <v>0</v>
      </c>
      <c r="O17" s="18">
        <f>$E$17*J17</f>
        <v>0</v>
      </c>
      <c r="P17" s="18">
        <f>$E$17*K17</f>
        <v>0</v>
      </c>
      <c r="Q17" s="18">
        <f t="shared" si="1"/>
        <v>684000</v>
      </c>
      <c r="R17" s="18">
        <f>$F$17*G17</f>
        <v>13281.553398058253</v>
      </c>
      <c r="S17" s="18">
        <f>$F$17*H17</f>
        <v>0</v>
      </c>
      <c r="T17" s="18">
        <f>$F$17*I17</f>
        <v>0</v>
      </c>
      <c r="U17" s="18">
        <f>$F$17*J17</f>
        <v>0</v>
      </c>
      <c r="V17" s="18">
        <f>$F$17*K17</f>
        <v>0</v>
      </c>
      <c r="W17" s="18">
        <f t="shared" si="2"/>
        <v>13281.553398058253</v>
      </c>
    </row>
    <row r="18" spans="1:23" x14ac:dyDescent="0.25">
      <c r="A18" s="25" t="s">
        <v>54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x14ac:dyDescent="0.25">
      <c r="A19" s="19" t="s">
        <v>51</v>
      </c>
      <c r="B19" s="19">
        <v>43</v>
      </c>
      <c r="C19" s="19" t="s">
        <v>17</v>
      </c>
      <c r="D19" s="19"/>
      <c r="E19" s="18">
        <f>0.95*48000</f>
        <v>45600</v>
      </c>
      <c r="F19" s="18">
        <f>E19/Parametros!$C$3</f>
        <v>885.43689320388353</v>
      </c>
      <c r="G19" s="19">
        <f>B19</f>
        <v>43</v>
      </c>
      <c r="H19" s="19">
        <v>0</v>
      </c>
      <c r="I19" s="19">
        <v>0</v>
      </c>
      <c r="J19" s="19">
        <v>0</v>
      </c>
      <c r="K19" s="19">
        <v>0</v>
      </c>
      <c r="L19" s="18">
        <f>$E$19*G19</f>
        <v>1960800</v>
      </c>
      <c r="M19" s="18">
        <f>$E$19*H19</f>
        <v>0</v>
      </c>
      <c r="N19" s="18">
        <f>$E$19*I19</f>
        <v>0</v>
      </c>
      <c r="O19" s="18">
        <f>$E$19*J19</f>
        <v>0</v>
      </c>
      <c r="P19" s="18">
        <f>$E$19*K19</f>
        <v>0</v>
      </c>
      <c r="Q19" s="18">
        <f>SUM(L19:P19)</f>
        <v>1960800</v>
      </c>
      <c r="R19" s="26">
        <f>$F$19*G19</f>
        <v>38073.786407766995</v>
      </c>
      <c r="S19" s="26">
        <f>$F$19*H19</f>
        <v>0</v>
      </c>
      <c r="T19" s="26">
        <f>$F$19*I19</f>
        <v>0</v>
      </c>
      <c r="U19" s="26">
        <f>$F$19*J19</f>
        <v>0</v>
      </c>
      <c r="V19" s="26">
        <f>$F$19*K19</f>
        <v>0</v>
      </c>
      <c r="W19" s="18">
        <f>SUM(R19:V19)</f>
        <v>38073.786407766995</v>
      </c>
    </row>
    <row r="20" spans="1:23" x14ac:dyDescent="0.25">
      <c r="A20" s="19" t="s">
        <v>52</v>
      </c>
      <c r="B20" s="19">
        <v>82</v>
      </c>
      <c r="C20" s="19" t="s">
        <v>17</v>
      </c>
      <c r="D20" s="19"/>
      <c r="E20" s="18">
        <f>0.95*30000</f>
        <v>28500</v>
      </c>
      <c r="F20" s="18">
        <f>E20/Parametros!$C$3</f>
        <v>553.39805825242718</v>
      </c>
      <c r="G20" s="19">
        <f>B20</f>
        <v>82</v>
      </c>
      <c r="H20" s="19">
        <v>0</v>
      </c>
      <c r="I20" s="19">
        <v>0</v>
      </c>
      <c r="J20" s="19">
        <v>0</v>
      </c>
      <c r="K20" s="19">
        <v>0</v>
      </c>
      <c r="L20" s="18">
        <f>$E$20*G20</f>
        <v>2337000</v>
      </c>
      <c r="M20" s="18">
        <f>$E$20*H20</f>
        <v>0</v>
      </c>
      <c r="N20" s="18">
        <f>$E$20*I20</f>
        <v>0</v>
      </c>
      <c r="O20" s="18">
        <f>$E$20*J20</f>
        <v>0</v>
      </c>
      <c r="P20" s="18">
        <f>$E$20*K20</f>
        <v>0</v>
      </c>
      <c r="Q20" s="18">
        <f>SUM(L20:P20)</f>
        <v>2337000</v>
      </c>
      <c r="R20" s="26">
        <f>$F$20*G20</f>
        <v>45378.640776699031</v>
      </c>
      <c r="S20" s="26">
        <f>$F$20*H20</f>
        <v>0</v>
      </c>
      <c r="T20" s="26">
        <f>$F$20*I20</f>
        <v>0</v>
      </c>
      <c r="U20" s="26">
        <f>$F$20*J20</f>
        <v>0</v>
      </c>
      <c r="V20" s="26">
        <f>$F$20*K20</f>
        <v>0</v>
      </c>
      <c r="W20" s="18">
        <f>SUM(R20:V20)</f>
        <v>45378.640776699031</v>
      </c>
    </row>
    <row r="21" spans="1:23" x14ac:dyDescent="0.25">
      <c r="A21" s="19" t="s">
        <v>53</v>
      </c>
      <c r="B21" s="19">
        <v>45</v>
      </c>
      <c r="C21" s="19" t="s">
        <v>17</v>
      </c>
      <c r="D21" s="19"/>
      <c r="E21" s="18">
        <f>0.95*90000</f>
        <v>85500</v>
      </c>
      <c r="F21" s="18">
        <f>E21/Parametros!$C$3</f>
        <v>1660.1941747572816</v>
      </c>
      <c r="G21" s="19">
        <f>B21</f>
        <v>45</v>
      </c>
      <c r="H21" s="19">
        <v>0</v>
      </c>
      <c r="I21" s="19">
        <v>0</v>
      </c>
      <c r="J21" s="19">
        <v>0</v>
      </c>
      <c r="K21" s="19">
        <v>0</v>
      </c>
      <c r="L21" s="18">
        <f>$E$21*G21</f>
        <v>3847500</v>
      </c>
      <c r="M21" s="18">
        <f>$E$21*H21</f>
        <v>0</v>
      </c>
      <c r="N21" s="18">
        <f>$E$21*I21</f>
        <v>0</v>
      </c>
      <c r="O21" s="18">
        <f>$E$21*J21</f>
        <v>0</v>
      </c>
      <c r="P21" s="18">
        <f>$E$21*K21</f>
        <v>0</v>
      </c>
      <c r="Q21" s="18">
        <f>SUM(L21:P21)</f>
        <v>3847500</v>
      </c>
      <c r="R21" s="26">
        <f>$F$21*G21</f>
        <v>74708.737864077673</v>
      </c>
      <c r="S21" s="26">
        <f>$F$21*H21</f>
        <v>0</v>
      </c>
      <c r="T21" s="26">
        <f>$F$21*I21</f>
        <v>0</v>
      </c>
      <c r="U21" s="26">
        <f>$F$21*J21</f>
        <v>0</v>
      </c>
      <c r="V21" s="26">
        <f>$F$21*K21</f>
        <v>0</v>
      </c>
      <c r="W21" s="18">
        <f>SUM(R21:V21)</f>
        <v>74708.737864077673</v>
      </c>
    </row>
    <row r="22" spans="1:23" x14ac:dyDescent="0.25">
      <c r="A22" s="25" t="s">
        <v>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x14ac:dyDescent="0.25">
      <c r="A23" s="19" t="s">
        <v>56</v>
      </c>
      <c r="B23" s="19">
        <v>1</v>
      </c>
      <c r="C23" s="19" t="s">
        <v>17</v>
      </c>
      <c r="D23" s="19"/>
      <c r="E23" s="18">
        <f>0.95*2200000</f>
        <v>2090000</v>
      </c>
      <c r="F23" s="18">
        <f>E23/Parametros!$C$3</f>
        <v>40582.524271844661</v>
      </c>
      <c r="G23" s="19">
        <f>B23</f>
        <v>1</v>
      </c>
      <c r="H23" s="19">
        <v>0</v>
      </c>
      <c r="I23" s="19">
        <v>0</v>
      </c>
      <c r="J23" s="19">
        <v>0</v>
      </c>
      <c r="K23" s="19">
        <v>0</v>
      </c>
      <c r="L23" s="18">
        <f>$E$23*G23</f>
        <v>2090000</v>
      </c>
      <c r="M23" s="18">
        <f>$E$23*H23</f>
        <v>0</v>
      </c>
      <c r="N23" s="18">
        <f>$E$23*I23</f>
        <v>0</v>
      </c>
      <c r="O23" s="18">
        <f>$E$23*J23</f>
        <v>0</v>
      </c>
      <c r="P23" s="18">
        <f>$E$23*K23</f>
        <v>0</v>
      </c>
      <c r="Q23" s="18">
        <f>SUM(L23:P23)</f>
        <v>2090000</v>
      </c>
      <c r="R23" s="27">
        <f>$F$23*G23</f>
        <v>40582.524271844661</v>
      </c>
      <c r="S23" s="27">
        <f>$F$23*H23</f>
        <v>0</v>
      </c>
      <c r="T23" s="27">
        <f>$F$23*I23</f>
        <v>0</v>
      </c>
      <c r="U23" s="27">
        <f>$F$23*J23</f>
        <v>0</v>
      </c>
      <c r="V23" s="27">
        <f>$F$23*K23</f>
        <v>0</v>
      </c>
      <c r="W23" s="27">
        <f>SUM(R23:V23)</f>
        <v>40582.524271844661</v>
      </c>
    </row>
    <row r="24" spans="1:23" x14ac:dyDescent="0.25">
      <c r="A24" s="19" t="s">
        <v>57</v>
      </c>
      <c r="B24" s="19">
        <v>2</v>
      </c>
      <c r="C24" s="19" t="s">
        <v>17</v>
      </c>
      <c r="D24" s="19"/>
      <c r="E24" s="18">
        <f>0.95*1400000</f>
        <v>1330000</v>
      </c>
      <c r="F24" s="18">
        <f>E24/Parametros!$C$3</f>
        <v>25825.242718446603</v>
      </c>
      <c r="G24" s="19">
        <f>B24</f>
        <v>2</v>
      </c>
      <c r="H24" s="19">
        <v>0</v>
      </c>
      <c r="I24" s="19">
        <v>0</v>
      </c>
      <c r="J24" s="19">
        <v>0</v>
      </c>
      <c r="K24" s="19">
        <v>0</v>
      </c>
      <c r="L24" s="18">
        <f>$E$24*G24</f>
        <v>2660000</v>
      </c>
      <c r="M24" s="18">
        <f>$E$24*H24</f>
        <v>0</v>
      </c>
      <c r="N24" s="18">
        <f>$E$24*I24</f>
        <v>0</v>
      </c>
      <c r="O24" s="18">
        <f>$E$24*J24</f>
        <v>0</v>
      </c>
      <c r="P24" s="18">
        <f>$E$24*K24</f>
        <v>0</v>
      </c>
      <c r="Q24" s="18">
        <f>SUM(L24:P24)</f>
        <v>2660000</v>
      </c>
      <c r="R24" s="27">
        <f>$F$24*G24</f>
        <v>51650.485436893206</v>
      </c>
      <c r="S24" s="27">
        <f>$F$24*H24</f>
        <v>0</v>
      </c>
      <c r="T24" s="27">
        <f>$F$24*I24</f>
        <v>0</v>
      </c>
      <c r="U24" s="27">
        <f>$F$24*J24</f>
        <v>0</v>
      </c>
      <c r="V24" s="27">
        <f>$F$24*K24</f>
        <v>0</v>
      </c>
      <c r="W24" s="27">
        <f>SUM(R24:V24)</f>
        <v>51650.485436893206</v>
      </c>
    </row>
    <row r="25" spans="1:23" x14ac:dyDescent="0.25">
      <c r="A25" s="19" t="s">
        <v>27</v>
      </c>
      <c r="B25" s="19">
        <v>20</v>
      </c>
      <c r="C25" s="19" t="s">
        <v>17</v>
      </c>
      <c r="D25" s="19"/>
      <c r="E25" s="18">
        <f>0.95*200000</f>
        <v>190000</v>
      </c>
      <c r="F25" s="18">
        <f>E25/Parametros!$C$3</f>
        <v>3689.3203883495144</v>
      </c>
      <c r="G25" s="19">
        <f>B25</f>
        <v>20</v>
      </c>
      <c r="H25" s="19">
        <v>0</v>
      </c>
      <c r="I25" s="19">
        <v>0</v>
      </c>
      <c r="J25" s="19">
        <v>0</v>
      </c>
      <c r="K25" s="19">
        <v>0</v>
      </c>
      <c r="L25" s="18">
        <f>$E$25*G25</f>
        <v>3800000</v>
      </c>
      <c r="M25" s="18">
        <f>$E$25*H25</f>
        <v>0</v>
      </c>
      <c r="N25" s="18">
        <f>$E$25*I25</f>
        <v>0</v>
      </c>
      <c r="O25" s="18">
        <f>$E$25*J25</f>
        <v>0</v>
      </c>
      <c r="P25" s="18">
        <f>$E$25*K25</f>
        <v>0</v>
      </c>
      <c r="Q25" s="18">
        <f>SUM(L25:P25)</f>
        <v>3800000</v>
      </c>
      <c r="R25" s="27">
        <f>$F$25*G25</f>
        <v>73786.407766990291</v>
      </c>
      <c r="S25" s="27">
        <f>$F$25*H25</f>
        <v>0</v>
      </c>
      <c r="T25" s="27">
        <f>$F$25*I25</f>
        <v>0</v>
      </c>
      <c r="U25" s="27">
        <f>$F$25*J25</f>
        <v>0</v>
      </c>
      <c r="V25" s="27">
        <f>$F$25*K25</f>
        <v>0</v>
      </c>
      <c r="W25" s="27">
        <f>SUM(R25:V25)</f>
        <v>73786.407766990291</v>
      </c>
    </row>
    <row r="26" spans="1:23" x14ac:dyDescent="0.25">
      <c r="A26" s="25" t="s">
        <v>58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x14ac:dyDescent="0.25">
      <c r="A27" s="19" t="s">
        <v>59</v>
      </c>
      <c r="B27" s="19">
        <v>1800</v>
      </c>
      <c r="C27" s="19" t="s">
        <v>17</v>
      </c>
      <c r="D27" s="19"/>
      <c r="E27" s="18">
        <f>0.95*1500</f>
        <v>1425</v>
      </c>
      <c r="F27" s="18">
        <f>E27/Parametros!C3</f>
        <v>27.66990291262136</v>
      </c>
      <c r="G27" s="19">
        <v>0</v>
      </c>
      <c r="H27" s="19">
        <f>B27*50%</f>
        <v>900</v>
      </c>
      <c r="I27" s="19">
        <f>B27*50%</f>
        <v>900</v>
      </c>
      <c r="J27" s="19">
        <v>0</v>
      </c>
      <c r="K27" s="19">
        <v>0</v>
      </c>
      <c r="L27" s="18">
        <f>$E$27*G27</f>
        <v>0</v>
      </c>
      <c r="M27" s="18">
        <f>$E$27*H27</f>
        <v>1282500</v>
      </c>
      <c r="N27" s="18">
        <f>$E$27*I27</f>
        <v>1282500</v>
      </c>
      <c r="O27" s="18">
        <f>$E$27*J27</f>
        <v>0</v>
      </c>
      <c r="P27" s="18">
        <f>$E$27*K27</f>
        <v>0</v>
      </c>
      <c r="Q27" s="18">
        <f>SUM(L27:P27)</f>
        <v>2565000</v>
      </c>
      <c r="R27" s="18">
        <f>$F$27*G27</f>
        <v>0</v>
      </c>
      <c r="S27" s="18">
        <f>$F$27*H27</f>
        <v>24902.912621359224</v>
      </c>
      <c r="T27" s="18">
        <f>$F$27*I27</f>
        <v>24902.912621359224</v>
      </c>
      <c r="U27" s="18">
        <f>$F$27*J27</f>
        <v>0</v>
      </c>
      <c r="V27" s="18">
        <f>$F$27*K27</f>
        <v>0</v>
      </c>
      <c r="W27" s="18">
        <f>SUM(R27:V27)</f>
        <v>49805.825242718449</v>
      </c>
    </row>
    <row r="28" spans="1:23" x14ac:dyDescent="0.25">
      <c r="A28" s="25" t="s">
        <v>60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x14ac:dyDescent="0.25">
      <c r="A29" s="19" t="s">
        <v>61</v>
      </c>
      <c r="B29" s="19">
        <v>30</v>
      </c>
      <c r="C29" s="19" t="s">
        <v>63</v>
      </c>
      <c r="D29" s="19"/>
      <c r="E29" s="18">
        <f>0.95*25000</f>
        <v>23750</v>
      </c>
      <c r="F29" s="18">
        <f>E29/Parametros!C3</f>
        <v>461.1650485436893</v>
      </c>
      <c r="G29" s="19">
        <v>30</v>
      </c>
      <c r="H29" s="19">
        <v>30</v>
      </c>
      <c r="I29" s="19">
        <v>30</v>
      </c>
      <c r="J29" s="19">
        <v>30</v>
      </c>
      <c r="K29" s="19">
        <v>30</v>
      </c>
      <c r="L29" s="18">
        <f>$E$29*G29/5</f>
        <v>142500</v>
      </c>
      <c r="M29" s="18">
        <f>$E$29*H29/5</f>
        <v>142500</v>
      </c>
      <c r="N29" s="18">
        <f>$E$29*I29/5</f>
        <v>142500</v>
      </c>
      <c r="O29" s="18">
        <f>$E$29*J29/5</f>
        <v>142500</v>
      </c>
      <c r="P29" s="18">
        <f>$E$29*K29/5</f>
        <v>142500</v>
      </c>
      <c r="Q29" s="18">
        <f>SUM(L29:P29)</f>
        <v>712500</v>
      </c>
      <c r="R29" s="18">
        <f>$F$29*G29/5</f>
        <v>2766.9902912621355</v>
      </c>
      <c r="S29" s="18">
        <f>$F$29*H29/5</f>
        <v>2766.9902912621355</v>
      </c>
      <c r="T29" s="18">
        <f>$F$29*I29/5</f>
        <v>2766.9902912621355</v>
      </c>
      <c r="U29" s="18">
        <f>$F$29*J29/5</f>
        <v>2766.9902912621355</v>
      </c>
      <c r="V29" s="18">
        <f>$F$29*K29/5</f>
        <v>2766.9902912621355</v>
      </c>
      <c r="W29" s="18">
        <f>SUM(R29:V29)</f>
        <v>13834.951456310679</v>
      </c>
    </row>
    <row r="30" spans="1:23" x14ac:dyDescent="0.25">
      <c r="A30" s="19" t="s">
        <v>62</v>
      </c>
      <c r="B30" s="19">
        <v>1</v>
      </c>
      <c r="C30" s="19" t="s">
        <v>17</v>
      </c>
      <c r="D30" s="19"/>
      <c r="E30" s="18">
        <f>0.95*5000000</f>
        <v>4750000</v>
      </c>
      <c r="F30" s="18">
        <f>E30/Parametros!C3</f>
        <v>92233.009708737867</v>
      </c>
      <c r="G30" s="19">
        <v>1</v>
      </c>
      <c r="H30" s="19">
        <v>0</v>
      </c>
      <c r="I30" s="19">
        <v>0</v>
      </c>
      <c r="J30" s="19">
        <v>0</v>
      </c>
      <c r="K30" s="19">
        <v>0</v>
      </c>
      <c r="L30" s="18">
        <f>$E$30*G30</f>
        <v>4750000</v>
      </c>
      <c r="M30" s="18">
        <f>$E$30*H30</f>
        <v>0</v>
      </c>
      <c r="N30" s="18">
        <f>$E$30*I30</f>
        <v>0</v>
      </c>
      <c r="O30" s="18">
        <f>$E$30*J30</f>
        <v>0</v>
      </c>
      <c r="P30" s="18">
        <f>$E$30*K30</f>
        <v>0</v>
      </c>
      <c r="Q30" s="18">
        <f>SUM(L30:P30)</f>
        <v>4750000</v>
      </c>
      <c r="R30" s="18">
        <f>$F$30*G30</f>
        <v>92233.009708737867</v>
      </c>
      <c r="S30" s="18">
        <f>$F$30*H30</f>
        <v>0</v>
      </c>
      <c r="T30" s="18">
        <f>$F$30*I30</f>
        <v>0</v>
      </c>
      <c r="U30" s="18">
        <f>$F$30*J30</f>
        <v>0</v>
      </c>
      <c r="V30" s="18">
        <f>$F$30*K30</f>
        <v>0</v>
      </c>
      <c r="W30" s="18">
        <f>SUM(R30:V30)</f>
        <v>92233.009708737867</v>
      </c>
    </row>
    <row r="31" spans="1:23" x14ac:dyDescent="0.25">
      <c r="A31" s="25" t="s">
        <v>64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3" x14ac:dyDescent="0.25">
      <c r="A32" s="19" t="s">
        <v>65</v>
      </c>
      <c r="B32" s="19">
        <v>10</v>
      </c>
      <c r="C32" s="19" t="s">
        <v>63</v>
      </c>
      <c r="D32" s="19"/>
      <c r="E32" s="18">
        <f>0.95*25000</f>
        <v>23750</v>
      </c>
      <c r="F32" s="18">
        <f>E32/Parametros!C3</f>
        <v>461.1650485436893</v>
      </c>
      <c r="G32" s="19">
        <v>10</v>
      </c>
      <c r="H32" s="19">
        <v>10</v>
      </c>
      <c r="I32" s="19">
        <v>10</v>
      </c>
      <c r="J32" s="19">
        <v>10</v>
      </c>
      <c r="K32" s="19">
        <v>10</v>
      </c>
      <c r="L32" s="18">
        <f>$E$32*G32/5</f>
        <v>47500</v>
      </c>
      <c r="M32" s="18">
        <f>$E$32*H32/5</f>
        <v>47500</v>
      </c>
      <c r="N32" s="18">
        <f>$E$32*I32/5</f>
        <v>47500</v>
      </c>
      <c r="O32" s="18">
        <f>$E$32*J32/5</f>
        <v>47500</v>
      </c>
      <c r="P32" s="18">
        <f>$E$32*K32/5</f>
        <v>47500</v>
      </c>
      <c r="Q32" s="18">
        <f>SUM(L32:P32)</f>
        <v>237500</v>
      </c>
      <c r="R32" s="26">
        <f>$F$32*G32/5</f>
        <v>922.33009708737859</v>
      </c>
      <c r="S32" s="18">
        <f>$F$32*H32/5</f>
        <v>922.33009708737859</v>
      </c>
      <c r="T32" s="18">
        <f>$F$32*I32/5</f>
        <v>922.33009708737859</v>
      </c>
      <c r="U32" s="18">
        <f>$F$32*J32/5</f>
        <v>922.33009708737859</v>
      </c>
      <c r="V32" s="18">
        <f>$F$32*K32/5</f>
        <v>922.33009708737859</v>
      </c>
      <c r="W32" s="18">
        <f>SUM(R32:V32)</f>
        <v>4611.6504854368932</v>
      </c>
    </row>
    <row r="33" spans="1:23" x14ac:dyDescent="0.25">
      <c r="A33" s="19" t="s">
        <v>66</v>
      </c>
      <c r="B33" s="19">
        <v>75</v>
      </c>
      <c r="C33" s="19" t="s">
        <v>17</v>
      </c>
      <c r="D33" s="19"/>
      <c r="E33" s="18">
        <f>0.95*15000</f>
        <v>14250</v>
      </c>
      <c r="F33" s="18">
        <f>E33/Parametros!C3</f>
        <v>276.69902912621359</v>
      </c>
      <c r="G33" s="19">
        <v>0</v>
      </c>
      <c r="H33" s="28">
        <f>B33*20%</f>
        <v>15</v>
      </c>
      <c r="I33" s="19">
        <v>38</v>
      </c>
      <c r="J33" s="19">
        <v>22</v>
      </c>
      <c r="K33" s="19">
        <v>0</v>
      </c>
      <c r="L33" s="18">
        <f>$F$33*G33</f>
        <v>0</v>
      </c>
      <c r="M33" s="18">
        <f>$F$33*H33</f>
        <v>4150.4854368932038</v>
      </c>
      <c r="N33" s="18">
        <f>$F$33*I33</f>
        <v>10514.563106796117</v>
      </c>
      <c r="O33" s="18">
        <f>$F$33*J33</f>
        <v>6087.3786407766993</v>
      </c>
      <c r="P33" s="18">
        <f>$F$33*K33</f>
        <v>0</v>
      </c>
      <c r="Q33" s="18">
        <f>SUM(L33:P33)</f>
        <v>20752.427184466022</v>
      </c>
      <c r="R33" s="18">
        <f>$F$33*G33</f>
        <v>0</v>
      </c>
      <c r="S33" s="18">
        <f>$F$33*H33</f>
        <v>4150.4854368932038</v>
      </c>
      <c r="T33" s="18">
        <f>$F$33*I33</f>
        <v>10514.563106796117</v>
      </c>
      <c r="U33" s="18">
        <f>$F$33*J33</f>
        <v>6087.3786407766993</v>
      </c>
      <c r="V33" s="18">
        <f>$F$33*K33</f>
        <v>0</v>
      </c>
      <c r="W33" s="18">
        <f>SUM(R33:V33)</f>
        <v>20752.427184466022</v>
      </c>
    </row>
    <row r="34" spans="1:23" x14ac:dyDescent="0.25">
      <c r="A34" s="25" t="s">
        <v>67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x14ac:dyDescent="0.25">
      <c r="A35" s="19" t="s">
        <v>68</v>
      </c>
      <c r="B35" s="19">
        <v>10</v>
      </c>
      <c r="C35" s="19" t="s">
        <v>17</v>
      </c>
      <c r="D35" s="19"/>
      <c r="E35" s="18">
        <f>0.95*150000</f>
        <v>142500</v>
      </c>
      <c r="F35" s="18">
        <f>E35/Parametros!$C$3</f>
        <v>2766.990291262136</v>
      </c>
      <c r="G35" s="19">
        <v>0</v>
      </c>
      <c r="H35" s="19">
        <f>B35</f>
        <v>10</v>
      </c>
      <c r="I35" s="19">
        <v>0</v>
      </c>
      <c r="J35" s="19">
        <v>0</v>
      </c>
      <c r="K35" s="19">
        <v>0</v>
      </c>
      <c r="L35" s="18">
        <f>$E$35*G35</f>
        <v>0</v>
      </c>
      <c r="M35" s="18">
        <f>$E$35*H35</f>
        <v>1425000</v>
      </c>
      <c r="N35" s="18">
        <f>$E$35*I35</f>
        <v>0</v>
      </c>
      <c r="O35" s="18">
        <f>$E$35*J35</f>
        <v>0</v>
      </c>
      <c r="P35" s="18">
        <f>$E$35*K35</f>
        <v>0</v>
      </c>
      <c r="Q35" s="18">
        <f>SUM(L35:P35)</f>
        <v>1425000</v>
      </c>
      <c r="R35" s="18">
        <f>$F$35*G35</f>
        <v>0</v>
      </c>
      <c r="S35" s="18">
        <f>$F$35*H35</f>
        <v>27669.902912621361</v>
      </c>
      <c r="T35" s="18">
        <f>$F$35*I35</f>
        <v>0</v>
      </c>
      <c r="U35" s="18">
        <f>$F$35*J35</f>
        <v>0</v>
      </c>
      <c r="V35" s="18">
        <f>$F$35*K35</f>
        <v>0</v>
      </c>
      <c r="W35" s="18">
        <f>SUM(R35:V35)</f>
        <v>27669.902912621361</v>
      </c>
    </row>
    <row r="36" spans="1:23" x14ac:dyDescent="0.25">
      <c r="A36" s="19" t="s">
        <v>69</v>
      </c>
      <c r="B36" s="19">
        <v>34</v>
      </c>
      <c r="C36" s="19" t="s">
        <v>72</v>
      </c>
      <c r="D36" s="19"/>
      <c r="E36" s="18">
        <f>0.95*137600</f>
        <v>130720</v>
      </c>
      <c r="F36" s="18">
        <f>E36/Parametros!$C$3</f>
        <v>2538.2524271844659</v>
      </c>
      <c r="G36" s="19">
        <v>0</v>
      </c>
      <c r="H36" s="19">
        <f>B36</f>
        <v>34</v>
      </c>
      <c r="I36" s="19">
        <v>0</v>
      </c>
      <c r="J36" s="19">
        <v>0</v>
      </c>
      <c r="K36" s="19">
        <v>0</v>
      </c>
      <c r="L36" s="18">
        <f>$E$36*G36</f>
        <v>0</v>
      </c>
      <c r="M36" s="18">
        <f>$E$36*H36</f>
        <v>4444480</v>
      </c>
      <c r="N36" s="18">
        <f>$E$36*I36</f>
        <v>0</v>
      </c>
      <c r="O36" s="18">
        <f>$E$36*J36</f>
        <v>0</v>
      </c>
      <c r="P36" s="18">
        <f>$E$36*K36</f>
        <v>0</v>
      </c>
      <c r="Q36" s="18">
        <f>SUM(L36:P36)</f>
        <v>4444480</v>
      </c>
      <c r="R36" s="18">
        <f>$F$36*G36</f>
        <v>0</v>
      </c>
      <c r="S36" s="18">
        <f>$F$36*H36</f>
        <v>86300.582524271842</v>
      </c>
      <c r="T36" s="18">
        <f>$F$36*I36</f>
        <v>0</v>
      </c>
      <c r="U36" s="18">
        <f>$F$36*J36</f>
        <v>0</v>
      </c>
      <c r="V36" s="18">
        <f>$F$36*K36</f>
        <v>0</v>
      </c>
      <c r="W36" s="18">
        <f>SUM(R36:V36)</f>
        <v>86300.582524271842</v>
      </c>
    </row>
    <row r="37" spans="1:23" x14ac:dyDescent="0.25">
      <c r="A37" s="19" t="s">
        <v>70</v>
      </c>
      <c r="B37" s="19">
        <v>40</v>
      </c>
      <c r="C37" s="19" t="s">
        <v>43</v>
      </c>
      <c r="D37" s="19"/>
      <c r="E37" s="18">
        <f>0.95*45000</f>
        <v>42750</v>
      </c>
      <c r="F37" s="18">
        <f>E37/Parametros!$C$3</f>
        <v>830.09708737864082</v>
      </c>
      <c r="G37" s="19">
        <v>0</v>
      </c>
      <c r="H37" s="19">
        <f>B37</f>
        <v>40</v>
      </c>
      <c r="I37" s="19">
        <v>0</v>
      </c>
      <c r="J37" s="19">
        <v>0</v>
      </c>
      <c r="K37" s="19">
        <v>0</v>
      </c>
      <c r="L37" s="18">
        <f>$E$37*G37</f>
        <v>0</v>
      </c>
      <c r="M37" s="18">
        <f>$E$37*H37</f>
        <v>1710000</v>
      </c>
      <c r="N37" s="18">
        <f>$E$37*I37</f>
        <v>0</v>
      </c>
      <c r="O37" s="18">
        <f>$E$37*J37</f>
        <v>0</v>
      </c>
      <c r="P37" s="18">
        <f>$E$37*K37</f>
        <v>0</v>
      </c>
      <c r="Q37" s="18">
        <f>SUM(L37:P37)</f>
        <v>1710000</v>
      </c>
      <c r="R37" s="18">
        <f>$F$37*G37</f>
        <v>0</v>
      </c>
      <c r="S37" s="18">
        <f>$F$37*H37</f>
        <v>33203.88349514563</v>
      </c>
      <c r="T37" s="18">
        <f>$F$37*I37</f>
        <v>0</v>
      </c>
      <c r="U37" s="18">
        <f>$F$37*J37</f>
        <v>0</v>
      </c>
      <c r="V37" s="18">
        <f>$F$37*K37</f>
        <v>0</v>
      </c>
      <c r="W37" s="18">
        <f>SUM(R37:V37)</f>
        <v>33203.88349514563</v>
      </c>
    </row>
    <row r="38" spans="1:23" x14ac:dyDescent="0.25">
      <c r="A38" s="19" t="s">
        <v>71</v>
      </c>
      <c r="B38" s="19">
        <v>34</v>
      </c>
      <c r="C38" s="19" t="s">
        <v>73</v>
      </c>
      <c r="D38" s="19"/>
      <c r="E38" s="18">
        <f>0.95*100000</f>
        <v>95000</v>
      </c>
      <c r="F38" s="18">
        <f>E38/Parametros!$C$3</f>
        <v>1844.6601941747572</v>
      </c>
      <c r="G38" s="19">
        <v>0</v>
      </c>
      <c r="H38" s="19">
        <f>B38</f>
        <v>34</v>
      </c>
      <c r="I38" s="19">
        <v>0</v>
      </c>
      <c r="J38" s="19">
        <v>0</v>
      </c>
      <c r="K38" s="19">
        <v>0</v>
      </c>
      <c r="L38" s="18">
        <f>$E$38*G38</f>
        <v>0</v>
      </c>
      <c r="M38" s="18">
        <f>$E$38*H38</f>
        <v>3230000</v>
      </c>
      <c r="N38" s="18">
        <f>$E$38*I38</f>
        <v>0</v>
      </c>
      <c r="O38" s="18">
        <f>$E$38*J38</f>
        <v>0</v>
      </c>
      <c r="P38" s="18">
        <f>$E$38*K38</f>
        <v>0</v>
      </c>
      <c r="Q38" s="18">
        <f>SUM(L38:P38)</f>
        <v>3230000</v>
      </c>
      <c r="R38" s="18">
        <f>$F$38*G38</f>
        <v>0</v>
      </c>
      <c r="S38" s="18">
        <f>$F$38*H38</f>
        <v>62718.446601941745</v>
      </c>
      <c r="T38" s="18">
        <f>$F$38*I38</f>
        <v>0</v>
      </c>
      <c r="U38" s="18">
        <f>$F$38*J38</f>
        <v>0</v>
      </c>
      <c r="V38" s="18">
        <f>$F$38*K38</f>
        <v>0</v>
      </c>
      <c r="W38" s="18">
        <f>SUM(R38:V38)</f>
        <v>62718.446601941745</v>
      </c>
    </row>
    <row r="39" spans="1:23" x14ac:dyDescent="0.25">
      <c r="A39" s="25" t="s">
        <v>74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x14ac:dyDescent="0.25">
      <c r="A40" s="19" t="s">
        <v>75</v>
      </c>
      <c r="B40" s="19">
        <v>1</v>
      </c>
      <c r="C40" s="19" t="s">
        <v>76</v>
      </c>
      <c r="D40" s="19"/>
      <c r="E40" s="18">
        <f>0.95*1920000</f>
        <v>1824000</v>
      </c>
      <c r="F40" s="18">
        <f>E40/Parametros!C3</f>
        <v>35417.475728155339</v>
      </c>
      <c r="G40" s="19">
        <v>0</v>
      </c>
      <c r="H40" s="19">
        <v>1</v>
      </c>
      <c r="I40" s="19">
        <v>1</v>
      </c>
      <c r="J40" s="19">
        <v>1</v>
      </c>
      <c r="K40" s="19">
        <v>1</v>
      </c>
      <c r="L40" s="18">
        <f>$E$40*G40</f>
        <v>0</v>
      </c>
      <c r="M40" s="18">
        <f>$E$40*H40/4</f>
        <v>456000</v>
      </c>
      <c r="N40" s="18">
        <f>$E$40*I40/4</f>
        <v>456000</v>
      </c>
      <c r="O40" s="18">
        <f>$E$40*J40/4</f>
        <v>456000</v>
      </c>
      <c r="P40" s="18">
        <f>$E$40*K40/4</f>
        <v>456000</v>
      </c>
      <c r="Q40" s="18">
        <f>SUM(L40:P40)</f>
        <v>1824000</v>
      </c>
      <c r="R40" s="18">
        <f>$F$40*G40</f>
        <v>0</v>
      </c>
      <c r="S40" s="26">
        <f>$F$40*H40/4</f>
        <v>8854.3689320388348</v>
      </c>
      <c r="T40" s="26">
        <f>$F$40*I40/4</f>
        <v>8854.3689320388348</v>
      </c>
      <c r="U40" s="26">
        <f>$F$40*J40/4</f>
        <v>8854.3689320388348</v>
      </c>
      <c r="V40" s="26">
        <f>$F$40*K40/4</f>
        <v>8854.3689320388348</v>
      </c>
      <c r="W40" s="18">
        <f>SUM(R40:V40)</f>
        <v>35417.475728155339</v>
      </c>
    </row>
    <row r="41" spans="1:23" x14ac:dyDescent="0.25">
      <c r="A41" s="25" t="s">
        <v>77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3" x14ac:dyDescent="0.25">
      <c r="A42" s="19" t="s">
        <v>28</v>
      </c>
      <c r="B42" s="19">
        <f>9*12</f>
        <v>108</v>
      </c>
      <c r="C42" s="19" t="s">
        <v>76</v>
      </c>
      <c r="D42" s="19"/>
      <c r="E42" s="19">
        <f>0.95*2000</f>
        <v>1900</v>
      </c>
      <c r="F42" s="28">
        <f>E42/Parametros!C3</f>
        <v>36.893203883495147</v>
      </c>
      <c r="G42" s="19">
        <f>B42</f>
        <v>108</v>
      </c>
      <c r="H42" s="19">
        <f t="shared" ref="H42:K43" si="3">G42</f>
        <v>108</v>
      </c>
      <c r="I42" s="19">
        <f t="shared" si="3"/>
        <v>108</v>
      </c>
      <c r="J42" s="19">
        <f t="shared" si="3"/>
        <v>108</v>
      </c>
      <c r="K42" s="19">
        <f t="shared" si="3"/>
        <v>108</v>
      </c>
      <c r="L42" s="18">
        <f>$E$42*G42</f>
        <v>205200</v>
      </c>
      <c r="M42" s="18">
        <f>$E$42*H42</f>
        <v>205200</v>
      </c>
      <c r="N42" s="18">
        <f>$E$42*I42</f>
        <v>205200</v>
      </c>
      <c r="O42" s="18">
        <f>$E$42*J42</f>
        <v>205200</v>
      </c>
      <c r="P42" s="18">
        <f>$E$42*K42</f>
        <v>205200</v>
      </c>
      <c r="Q42" s="18">
        <f>SUM(L42:P42)</f>
        <v>1026000</v>
      </c>
      <c r="R42" s="18">
        <f>$F$42*G42</f>
        <v>3984.4660194174758</v>
      </c>
      <c r="S42" s="18">
        <f>$F$42*H42</f>
        <v>3984.4660194174758</v>
      </c>
      <c r="T42" s="18">
        <f>$F$42*I42</f>
        <v>3984.4660194174758</v>
      </c>
      <c r="U42" s="18">
        <f>$F$42*J42</f>
        <v>3984.4660194174758</v>
      </c>
      <c r="V42" s="18">
        <f>$F$42*K42</f>
        <v>3984.4660194174758</v>
      </c>
      <c r="W42" s="18">
        <f>SUM(R42:V42)</f>
        <v>19922.330097087379</v>
      </c>
    </row>
    <row r="43" spans="1:23" x14ac:dyDescent="0.25">
      <c r="A43" s="19" t="s">
        <v>29</v>
      </c>
      <c r="B43" s="19">
        <f>9*12</f>
        <v>108</v>
      </c>
      <c r="C43" s="19" t="s">
        <v>76</v>
      </c>
      <c r="D43" s="19"/>
      <c r="E43" s="19">
        <f>0.95*2000</f>
        <v>1900</v>
      </c>
      <c r="F43" s="28">
        <f>E43/Parametros!C3</f>
        <v>36.893203883495147</v>
      </c>
      <c r="G43" s="19">
        <f>B43</f>
        <v>108</v>
      </c>
      <c r="H43" s="19">
        <f t="shared" si="3"/>
        <v>108</v>
      </c>
      <c r="I43" s="19">
        <f t="shared" si="3"/>
        <v>108</v>
      </c>
      <c r="J43" s="19">
        <f t="shared" si="3"/>
        <v>108</v>
      </c>
      <c r="K43" s="19">
        <f t="shared" si="3"/>
        <v>108</v>
      </c>
      <c r="L43" s="18">
        <f>$E$43*G43</f>
        <v>205200</v>
      </c>
      <c r="M43" s="18">
        <f>$E$43*H43</f>
        <v>205200</v>
      </c>
      <c r="N43" s="18">
        <f>$E$43*I43</f>
        <v>205200</v>
      </c>
      <c r="O43" s="18">
        <f>$E$43*J43</f>
        <v>205200</v>
      </c>
      <c r="P43" s="18">
        <f>$E$43*K43</f>
        <v>205200</v>
      </c>
      <c r="Q43" s="18">
        <f>SUM(L43:P43)</f>
        <v>1026000</v>
      </c>
      <c r="R43" s="18">
        <f>$F$43*G43</f>
        <v>3984.4660194174758</v>
      </c>
      <c r="S43" s="18">
        <f>$F$43*H43</f>
        <v>3984.4660194174758</v>
      </c>
      <c r="T43" s="18">
        <f>$F$43*I43</f>
        <v>3984.4660194174758</v>
      </c>
      <c r="U43" s="18">
        <f>$F$43*J43</f>
        <v>3984.4660194174758</v>
      </c>
      <c r="V43" s="18">
        <f>$F$43*K43</f>
        <v>3984.4660194174758</v>
      </c>
      <c r="W43" s="18">
        <f>SUM(R43:V43)</f>
        <v>19922.330097087379</v>
      </c>
    </row>
    <row r="44" spans="1:23" x14ac:dyDescent="0.25">
      <c r="A44" s="25" t="s">
        <v>78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1:23" x14ac:dyDescent="0.25">
      <c r="A45" s="19" t="s">
        <v>30</v>
      </c>
      <c r="B45" s="19">
        <f>B24</f>
        <v>2</v>
      </c>
      <c r="C45" s="19" t="s">
        <v>17</v>
      </c>
      <c r="D45" s="19"/>
      <c r="E45" s="18">
        <f>0.95*50000</f>
        <v>47500</v>
      </c>
      <c r="F45" s="18">
        <f>E45/Parametros!$C$3</f>
        <v>922.33009708737859</v>
      </c>
      <c r="G45" s="19">
        <f>B45</f>
        <v>2</v>
      </c>
      <c r="H45" s="19">
        <f t="shared" ref="H45:K52" si="4">G45</f>
        <v>2</v>
      </c>
      <c r="I45" s="19">
        <f t="shared" si="4"/>
        <v>2</v>
      </c>
      <c r="J45" s="19">
        <f t="shared" si="4"/>
        <v>2</v>
      </c>
      <c r="K45" s="19">
        <f t="shared" si="4"/>
        <v>2</v>
      </c>
      <c r="L45" s="18">
        <f>$E$45*G45</f>
        <v>95000</v>
      </c>
      <c r="M45" s="18">
        <f>$E$45*H45</f>
        <v>95000</v>
      </c>
      <c r="N45" s="18">
        <f>$E$45*I45</f>
        <v>95000</v>
      </c>
      <c r="O45" s="18">
        <f>$E$45*J45</f>
        <v>95000</v>
      </c>
      <c r="P45" s="18">
        <f>$E$45*K45</f>
        <v>95000</v>
      </c>
      <c r="Q45" s="18">
        <f>SUM(L45:P45)</f>
        <v>475000</v>
      </c>
      <c r="R45" s="26">
        <f>$F$45*G45</f>
        <v>1844.6601941747572</v>
      </c>
      <c r="S45" s="26">
        <f>$F$45*H45</f>
        <v>1844.6601941747572</v>
      </c>
      <c r="T45" s="26">
        <f>$F$45*I45</f>
        <v>1844.6601941747572</v>
      </c>
      <c r="U45" s="26">
        <f>$F$45*J45</f>
        <v>1844.6601941747572</v>
      </c>
      <c r="V45" s="26">
        <f>$F$45*K45</f>
        <v>1844.6601941747572</v>
      </c>
      <c r="W45" s="18">
        <f>SUM(R45:V45)</f>
        <v>9223.3009708737864</v>
      </c>
    </row>
    <row r="46" spans="1:23" x14ac:dyDescent="0.25">
      <c r="A46" s="19" t="s">
        <v>31</v>
      </c>
      <c r="B46" s="19">
        <f>B45*4</f>
        <v>8</v>
      </c>
      <c r="C46" s="19" t="s">
        <v>17</v>
      </c>
      <c r="D46" s="19"/>
      <c r="E46" s="18">
        <f>0.95*10000</f>
        <v>9500</v>
      </c>
      <c r="F46" s="18">
        <f>E46/Parametros!$C$3</f>
        <v>184.46601941747574</v>
      </c>
      <c r="G46" s="19">
        <f>B46</f>
        <v>8</v>
      </c>
      <c r="H46" s="19">
        <f t="shared" si="4"/>
        <v>8</v>
      </c>
      <c r="I46" s="19">
        <f t="shared" si="4"/>
        <v>8</v>
      </c>
      <c r="J46" s="19">
        <f t="shared" si="4"/>
        <v>8</v>
      </c>
      <c r="K46" s="19">
        <f t="shared" si="4"/>
        <v>8</v>
      </c>
      <c r="L46" s="18">
        <f>$E$46*G46</f>
        <v>76000</v>
      </c>
      <c r="M46" s="18">
        <f>$E$46*H46</f>
        <v>76000</v>
      </c>
      <c r="N46" s="18">
        <f>$E$46*I46</f>
        <v>76000</v>
      </c>
      <c r="O46" s="18">
        <f>$E$46*J46</f>
        <v>76000</v>
      </c>
      <c r="P46" s="18">
        <f>$E$46*K46</f>
        <v>76000</v>
      </c>
      <c r="Q46" s="18">
        <f t="shared" ref="Q46:Q52" si="5">SUM(L46:P46)</f>
        <v>380000</v>
      </c>
      <c r="R46" s="26">
        <f>$F$46*$G$46</f>
        <v>1475.7281553398059</v>
      </c>
      <c r="S46" s="26">
        <f>$F$46*$G$46</f>
        <v>1475.7281553398059</v>
      </c>
      <c r="T46" s="26">
        <f>$F$46*$G$46</f>
        <v>1475.7281553398059</v>
      </c>
      <c r="U46" s="26">
        <f>$F$46*$G$46</f>
        <v>1475.7281553398059</v>
      </c>
      <c r="V46" s="26">
        <f>$F$46*$G$46</f>
        <v>1475.7281553398059</v>
      </c>
      <c r="W46" s="18">
        <f t="shared" ref="W46:W52" si="6">SUM(R46:V46)</f>
        <v>7378.6407766990296</v>
      </c>
    </row>
    <row r="47" spans="1:23" x14ac:dyDescent="0.25">
      <c r="A47" s="19" t="s">
        <v>32</v>
      </c>
      <c r="B47" s="19">
        <v>6720</v>
      </c>
      <c r="C47" s="19" t="s">
        <v>38</v>
      </c>
      <c r="D47" s="19"/>
      <c r="E47" s="18">
        <f>0.95*170</f>
        <v>161.5</v>
      </c>
      <c r="F47" s="18">
        <f>E47/Parametros!$C$3</f>
        <v>3.1359223300970873</v>
      </c>
      <c r="G47" s="19">
        <f t="shared" ref="G47:G52" si="7">B47</f>
        <v>6720</v>
      </c>
      <c r="H47" s="19">
        <f t="shared" si="4"/>
        <v>6720</v>
      </c>
      <c r="I47" s="19">
        <f t="shared" si="4"/>
        <v>6720</v>
      </c>
      <c r="J47" s="19">
        <f t="shared" si="4"/>
        <v>6720</v>
      </c>
      <c r="K47" s="19">
        <f t="shared" si="4"/>
        <v>6720</v>
      </c>
      <c r="L47" s="18">
        <f>$E$47*G47</f>
        <v>1085280</v>
      </c>
      <c r="M47" s="18">
        <f>$E$47*H47</f>
        <v>1085280</v>
      </c>
      <c r="N47" s="18">
        <f>$E$47*I47</f>
        <v>1085280</v>
      </c>
      <c r="O47" s="18">
        <f>$E$47*J47</f>
        <v>1085280</v>
      </c>
      <c r="P47" s="18">
        <f>$E$47*K47</f>
        <v>1085280</v>
      </c>
      <c r="Q47" s="18">
        <f t="shared" si="5"/>
        <v>5426400</v>
      </c>
      <c r="R47" s="26">
        <f>$F$47*G47</f>
        <v>21073.398058252427</v>
      </c>
      <c r="S47" s="26">
        <f>$F$47*H47</f>
        <v>21073.398058252427</v>
      </c>
      <c r="T47" s="26">
        <f>$F$47*I47</f>
        <v>21073.398058252427</v>
      </c>
      <c r="U47" s="26">
        <f>$F$47*J47</f>
        <v>21073.398058252427</v>
      </c>
      <c r="V47" s="26">
        <f>$F$47*K47</f>
        <v>21073.398058252427</v>
      </c>
      <c r="W47" s="18">
        <f t="shared" si="6"/>
        <v>105366.99029126213</v>
      </c>
    </row>
    <row r="48" spans="1:23" x14ac:dyDescent="0.25">
      <c r="A48" s="19" t="s">
        <v>33</v>
      </c>
      <c r="B48" s="19">
        <f>B46</f>
        <v>8</v>
      </c>
      <c r="C48" s="19" t="s">
        <v>17</v>
      </c>
      <c r="D48" s="19"/>
      <c r="E48" s="18">
        <f>0.95*60000</f>
        <v>57000</v>
      </c>
      <c r="F48" s="18">
        <f>E48/Parametros!$C$3</f>
        <v>1106.7961165048544</v>
      </c>
      <c r="G48" s="19">
        <f t="shared" si="7"/>
        <v>8</v>
      </c>
      <c r="H48" s="19">
        <f t="shared" si="4"/>
        <v>8</v>
      </c>
      <c r="I48" s="19">
        <f t="shared" si="4"/>
        <v>8</v>
      </c>
      <c r="J48" s="19">
        <f t="shared" si="4"/>
        <v>8</v>
      </c>
      <c r="K48" s="19">
        <f t="shared" si="4"/>
        <v>8</v>
      </c>
      <c r="L48" s="18">
        <f>$E$48*G48</f>
        <v>456000</v>
      </c>
      <c r="M48" s="18">
        <f>$E$48*H48</f>
        <v>456000</v>
      </c>
      <c r="N48" s="18">
        <f>$E$48*I48</f>
        <v>456000</v>
      </c>
      <c r="O48" s="18">
        <f>$E$48*J48</f>
        <v>456000</v>
      </c>
      <c r="P48" s="18">
        <f>$E$48*K48</f>
        <v>456000</v>
      </c>
      <c r="Q48" s="18">
        <f t="shared" si="5"/>
        <v>2280000</v>
      </c>
      <c r="R48" s="26">
        <f>$F$48*G48</f>
        <v>8854.3689320388348</v>
      </c>
      <c r="S48" s="26">
        <f>$F$48*H48</f>
        <v>8854.3689320388348</v>
      </c>
      <c r="T48" s="26">
        <f>$F$48*I48</f>
        <v>8854.3689320388348</v>
      </c>
      <c r="U48" s="26">
        <f>$F$48*J48</f>
        <v>8854.3689320388348</v>
      </c>
      <c r="V48" s="26">
        <f>$F$48*K48</f>
        <v>8854.3689320388348</v>
      </c>
      <c r="W48" s="18">
        <f t="shared" si="6"/>
        <v>44271.844660194176</v>
      </c>
    </row>
    <row r="49" spans="1:24" x14ac:dyDescent="0.25">
      <c r="A49" s="19" t="s">
        <v>34</v>
      </c>
      <c r="B49" s="19">
        <v>20</v>
      </c>
      <c r="C49" s="19" t="s">
        <v>17</v>
      </c>
      <c r="D49" s="19"/>
      <c r="E49" s="18">
        <f>0.95*3000</f>
        <v>2850</v>
      </c>
      <c r="F49" s="18">
        <f>E49/Parametros!$C$3</f>
        <v>55.339805825242721</v>
      </c>
      <c r="G49" s="19">
        <f t="shared" si="7"/>
        <v>20</v>
      </c>
      <c r="H49" s="19">
        <f t="shared" si="4"/>
        <v>20</v>
      </c>
      <c r="I49" s="19">
        <f t="shared" si="4"/>
        <v>20</v>
      </c>
      <c r="J49" s="19">
        <f t="shared" si="4"/>
        <v>20</v>
      </c>
      <c r="K49" s="19">
        <f t="shared" si="4"/>
        <v>20</v>
      </c>
      <c r="L49" s="18">
        <f>$E$49*G49</f>
        <v>57000</v>
      </c>
      <c r="M49" s="18">
        <f>$E$49*H49</f>
        <v>57000</v>
      </c>
      <c r="N49" s="18">
        <f>$E$49*I49</f>
        <v>57000</v>
      </c>
      <c r="O49" s="18">
        <f>$E$49*J49</f>
        <v>57000</v>
      </c>
      <c r="P49" s="18">
        <f>$E$49*K49</f>
        <v>57000</v>
      </c>
      <c r="Q49" s="18">
        <f t="shared" si="5"/>
        <v>285000</v>
      </c>
      <c r="R49" s="26">
        <f>$F$49*G49</f>
        <v>1106.7961165048544</v>
      </c>
      <c r="S49" s="26">
        <f>$F$49*H49</f>
        <v>1106.7961165048544</v>
      </c>
      <c r="T49" s="26">
        <f>$F$49*I49</f>
        <v>1106.7961165048544</v>
      </c>
      <c r="U49" s="26">
        <f>$F$49*J49</f>
        <v>1106.7961165048544</v>
      </c>
      <c r="V49" s="26">
        <f>$F$49*K49</f>
        <v>1106.7961165048544</v>
      </c>
      <c r="W49" s="18">
        <f t="shared" si="6"/>
        <v>5533.980582524272</v>
      </c>
    </row>
    <row r="50" spans="1:24" x14ac:dyDescent="0.25">
      <c r="A50" s="19" t="s">
        <v>35</v>
      </c>
      <c r="B50" s="19">
        <v>80</v>
      </c>
      <c r="C50" s="19" t="s">
        <v>17</v>
      </c>
      <c r="D50" s="19"/>
      <c r="E50" s="18">
        <f>0.95*500</f>
        <v>475</v>
      </c>
      <c r="F50" s="18">
        <f>E50/Parametros!$C$3</f>
        <v>9.2233009708737868</v>
      </c>
      <c r="G50" s="19">
        <f t="shared" si="7"/>
        <v>80</v>
      </c>
      <c r="H50" s="19">
        <f t="shared" si="4"/>
        <v>80</v>
      </c>
      <c r="I50" s="19">
        <f t="shared" si="4"/>
        <v>80</v>
      </c>
      <c r="J50" s="19">
        <f t="shared" si="4"/>
        <v>80</v>
      </c>
      <c r="K50" s="19">
        <f t="shared" si="4"/>
        <v>80</v>
      </c>
      <c r="L50" s="18">
        <f>$E$50*G50</f>
        <v>38000</v>
      </c>
      <c r="M50" s="18">
        <f>$E$50*H50</f>
        <v>38000</v>
      </c>
      <c r="N50" s="18">
        <f>$E$50*I50</f>
        <v>38000</v>
      </c>
      <c r="O50" s="18">
        <f>$E$50*J50</f>
        <v>38000</v>
      </c>
      <c r="P50" s="18">
        <f>$E$50*K50</f>
        <v>38000</v>
      </c>
      <c r="Q50" s="18">
        <f t="shared" si="5"/>
        <v>190000</v>
      </c>
      <c r="R50" s="26">
        <f>$F$50*G50</f>
        <v>737.86407766990294</v>
      </c>
      <c r="S50" s="26">
        <f>$F$50*H50</f>
        <v>737.86407766990294</v>
      </c>
      <c r="T50" s="26">
        <f>$F$50*I50</f>
        <v>737.86407766990294</v>
      </c>
      <c r="U50" s="26">
        <f>$F$50*J50</f>
        <v>737.86407766990294</v>
      </c>
      <c r="V50" s="26">
        <f>$F$50*K50</f>
        <v>737.86407766990294</v>
      </c>
      <c r="W50" s="18">
        <f t="shared" si="6"/>
        <v>3689.3203883495148</v>
      </c>
    </row>
    <row r="51" spans="1:24" x14ac:dyDescent="0.25">
      <c r="A51" s="19" t="s">
        <v>36</v>
      </c>
      <c r="B51" s="19">
        <v>4500</v>
      </c>
      <c r="C51" s="19" t="s">
        <v>39</v>
      </c>
      <c r="D51" s="19"/>
      <c r="E51" s="18">
        <f>0.95*210</f>
        <v>199.5</v>
      </c>
      <c r="F51" s="18">
        <f>E51/Parametros!$C$3</f>
        <v>3.8737864077669903</v>
      </c>
      <c r="G51" s="19">
        <f t="shared" si="7"/>
        <v>4500</v>
      </c>
      <c r="H51" s="19">
        <f t="shared" si="4"/>
        <v>4500</v>
      </c>
      <c r="I51" s="19">
        <f t="shared" si="4"/>
        <v>4500</v>
      </c>
      <c r="J51" s="19">
        <f t="shared" si="4"/>
        <v>4500</v>
      </c>
      <c r="K51" s="19">
        <f t="shared" si="4"/>
        <v>4500</v>
      </c>
      <c r="L51" s="18">
        <f>$E$51*G51</f>
        <v>897750</v>
      </c>
      <c r="M51" s="18">
        <f>$E$51*H51</f>
        <v>897750</v>
      </c>
      <c r="N51" s="18">
        <f>$E$51*I51</f>
        <v>897750</v>
      </c>
      <c r="O51" s="18">
        <f>$E$51*J51</f>
        <v>897750</v>
      </c>
      <c r="P51" s="18">
        <f>$E$51*K51</f>
        <v>897750</v>
      </c>
      <c r="Q51" s="18">
        <f t="shared" si="5"/>
        <v>4488750</v>
      </c>
      <c r="R51" s="26">
        <f>$F$51*G51</f>
        <v>17432.038834951458</v>
      </c>
      <c r="S51" s="26">
        <f>$F$51*H51</f>
        <v>17432.038834951458</v>
      </c>
      <c r="T51" s="26">
        <f>$F$51*I51</f>
        <v>17432.038834951458</v>
      </c>
      <c r="U51" s="26">
        <f>$F$51*J51</f>
        <v>17432.038834951458</v>
      </c>
      <c r="V51" s="26">
        <f>$F$51*K51</f>
        <v>17432.038834951458</v>
      </c>
      <c r="W51" s="18">
        <f t="shared" si="6"/>
        <v>87160.194174757286</v>
      </c>
    </row>
    <row r="52" spans="1:24" x14ac:dyDescent="0.25">
      <c r="A52" s="19" t="s">
        <v>37</v>
      </c>
      <c r="B52" s="19">
        <f>35*4</f>
        <v>140</v>
      </c>
      <c r="C52" s="19" t="s">
        <v>40</v>
      </c>
      <c r="D52" s="19"/>
      <c r="E52" s="18">
        <f>0.95*1500</f>
        <v>1425</v>
      </c>
      <c r="F52" s="18">
        <f>E52/Parametros!$C$3</f>
        <v>27.66990291262136</v>
      </c>
      <c r="G52" s="19">
        <f t="shared" si="7"/>
        <v>140</v>
      </c>
      <c r="H52" s="19">
        <f t="shared" si="4"/>
        <v>140</v>
      </c>
      <c r="I52" s="19">
        <f t="shared" si="4"/>
        <v>140</v>
      </c>
      <c r="J52" s="19">
        <f t="shared" si="4"/>
        <v>140</v>
      </c>
      <c r="K52" s="19">
        <f t="shared" si="4"/>
        <v>140</v>
      </c>
      <c r="L52" s="18">
        <f>$E$52*G52</f>
        <v>199500</v>
      </c>
      <c r="M52" s="18">
        <f>$E$52*H52</f>
        <v>199500</v>
      </c>
      <c r="N52" s="18">
        <f>$E$52*I52</f>
        <v>199500</v>
      </c>
      <c r="O52" s="18">
        <f>$E$52*J52</f>
        <v>199500</v>
      </c>
      <c r="P52" s="18">
        <f>$E$52*K52</f>
        <v>199500</v>
      </c>
      <c r="Q52" s="18">
        <f t="shared" si="5"/>
        <v>997500</v>
      </c>
      <c r="R52" s="26">
        <f>$F$52*G52</f>
        <v>3873.7864077669906</v>
      </c>
      <c r="S52" s="26">
        <f>$F$52*H52</f>
        <v>3873.7864077669906</v>
      </c>
      <c r="T52" s="26">
        <f>$F$52*I52</f>
        <v>3873.7864077669906</v>
      </c>
      <c r="U52" s="26">
        <f>$F$52*J52</f>
        <v>3873.7864077669906</v>
      </c>
      <c r="V52" s="26">
        <f>$F$52*K52</f>
        <v>3873.7864077669906</v>
      </c>
      <c r="W52" s="18">
        <f t="shared" si="6"/>
        <v>19368.932038834952</v>
      </c>
    </row>
    <row r="53" spans="1:24" x14ac:dyDescent="0.25">
      <c r="A53" s="25" t="s">
        <v>81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8"/>
    </row>
    <row r="54" spans="1:24" x14ac:dyDescent="0.25">
      <c r="A54" s="19" t="s">
        <v>79</v>
      </c>
      <c r="B54" s="19">
        <v>54</v>
      </c>
      <c r="C54" s="19" t="s">
        <v>82</v>
      </c>
      <c r="D54" s="19"/>
      <c r="E54" s="18">
        <f>0.95*60000</f>
        <v>57000</v>
      </c>
      <c r="F54" s="26">
        <f>E54/Parametros!C3</f>
        <v>1106.7961165048544</v>
      </c>
      <c r="G54" s="19">
        <f>B54</f>
        <v>54</v>
      </c>
      <c r="H54" s="19">
        <f t="shared" ref="H54:K55" si="8">G54</f>
        <v>54</v>
      </c>
      <c r="I54" s="19">
        <f t="shared" si="8"/>
        <v>54</v>
      </c>
      <c r="J54" s="19">
        <f t="shared" si="8"/>
        <v>54</v>
      </c>
      <c r="K54" s="19">
        <f t="shared" si="8"/>
        <v>54</v>
      </c>
      <c r="L54" s="18">
        <f>$E$54*G54</f>
        <v>3078000</v>
      </c>
      <c r="M54" s="18">
        <f>$E$54*H54</f>
        <v>3078000</v>
      </c>
      <c r="N54" s="18">
        <f>$E$54*I54</f>
        <v>3078000</v>
      </c>
      <c r="O54" s="18">
        <f>$E$54*J54</f>
        <v>3078000</v>
      </c>
      <c r="P54" s="18">
        <f>$E$54*K54</f>
        <v>3078000</v>
      </c>
      <c r="Q54" s="18">
        <f>SUM(L54:P54)</f>
        <v>15390000</v>
      </c>
      <c r="R54" s="18">
        <f>$F$54*G54</f>
        <v>59766.990291262133</v>
      </c>
      <c r="S54" s="18">
        <f>$F$54*H54</f>
        <v>59766.990291262133</v>
      </c>
      <c r="T54" s="18">
        <f>$F$54*I54</f>
        <v>59766.990291262133</v>
      </c>
      <c r="U54" s="18">
        <f>$F$54*J54</f>
        <v>59766.990291262133</v>
      </c>
      <c r="V54" s="18">
        <f>$F$54*K54</f>
        <v>59766.990291262133</v>
      </c>
      <c r="W54" s="18">
        <f>SUM(R54:V54)</f>
        <v>298834.95145631069</v>
      </c>
    </row>
    <row r="55" spans="1:24" x14ac:dyDescent="0.25">
      <c r="A55" s="19" t="s">
        <v>80</v>
      </c>
      <c r="B55" s="19">
        <v>185</v>
      </c>
      <c r="C55" s="19" t="s">
        <v>17</v>
      </c>
      <c r="D55" s="19"/>
      <c r="E55" s="18">
        <f>0.95*7500</f>
        <v>7125</v>
      </c>
      <c r="F55" s="26">
        <f>E55/Parametros!C3</f>
        <v>138.34951456310679</v>
      </c>
      <c r="G55" s="19">
        <f>B55</f>
        <v>185</v>
      </c>
      <c r="H55" s="19">
        <f t="shared" si="8"/>
        <v>185</v>
      </c>
      <c r="I55" s="19">
        <f t="shared" si="8"/>
        <v>185</v>
      </c>
      <c r="J55" s="19">
        <f t="shared" si="8"/>
        <v>185</v>
      </c>
      <c r="K55" s="19">
        <f t="shared" si="8"/>
        <v>185</v>
      </c>
      <c r="L55" s="18">
        <f>$E$55*G55</f>
        <v>1318125</v>
      </c>
      <c r="M55" s="18">
        <f>$E$55*H55</f>
        <v>1318125</v>
      </c>
      <c r="N55" s="18">
        <f>$E$55*I55</f>
        <v>1318125</v>
      </c>
      <c r="O55" s="18">
        <f>$E$55*J55</f>
        <v>1318125</v>
      </c>
      <c r="P55" s="18">
        <f>$E$55*K55</f>
        <v>1318125</v>
      </c>
      <c r="Q55" s="18">
        <f>SUM(L55:P55)</f>
        <v>6590625</v>
      </c>
      <c r="R55" s="18">
        <f>$F$55*G55</f>
        <v>25594.660194174758</v>
      </c>
      <c r="S55" s="18">
        <f>$F$55*H55</f>
        <v>25594.660194174758</v>
      </c>
      <c r="T55" s="18">
        <f>$F$55*I55</f>
        <v>25594.660194174758</v>
      </c>
      <c r="U55" s="18">
        <f>$F$55*J55</f>
        <v>25594.660194174758</v>
      </c>
      <c r="V55" s="18">
        <f>$F$55*K55</f>
        <v>25594.660194174758</v>
      </c>
      <c r="W55" s="18">
        <f>SUM(R55:V55)</f>
        <v>127973.3009708738</v>
      </c>
    </row>
    <row r="56" spans="1:24" x14ac:dyDescent="0.25">
      <c r="A56" s="25" t="s">
        <v>85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4" x14ac:dyDescent="0.25">
      <c r="A57" s="19" t="s">
        <v>41</v>
      </c>
      <c r="B57" s="19">
        <v>2</v>
      </c>
      <c r="C57" s="19" t="s">
        <v>42</v>
      </c>
      <c r="D57" s="19"/>
      <c r="E57" s="18">
        <f>0.95*100000</f>
        <v>95000</v>
      </c>
      <c r="F57" s="18">
        <f>E57/Parametros!$C$3</f>
        <v>1844.6601941747572</v>
      </c>
      <c r="G57" s="19">
        <v>2</v>
      </c>
      <c r="H57" s="19">
        <v>2</v>
      </c>
      <c r="I57" s="19">
        <v>2</v>
      </c>
      <c r="J57" s="19">
        <v>2</v>
      </c>
      <c r="K57" s="19">
        <v>2</v>
      </c>
      <c r="L57" s="18">
        <f>$E$57*G57</f>
        <v>190000</v>
      </c>
      <c r="M57" s="18">
        <f>$E$57*H57</f>
        <v>190000</v>
      </c>
      <c r="N57" s="18">
        <f>$E$57*I57</f>
        <v>190000</v>
      </c>
      <c r="O57" s="18">
        <f>$E$57*J57</f>
        <v>190000</v>
      </c>
      <c r="P57" s="18">
        <f>$E$57*K57</f>
        <v>190000</v>
      </c>
      <c r="Q57" s="18">
        <f>SUM(L57:P57)</f>
        <v>950000</v>
      </c>
      <c r="R57" s="18">
        <f>$F$57*G57</f>
        <v>3689.3203883495144</v>
      </c>
      <c r="S57" s="18">
        <f>$F$57*H57</f>
        <v>3689.3203883495144</v>
      </c>
      <c r="T57" s="18">
        <f>$F$57*I57</f>
        <v>3689.3203883495144</v>
      </c>
      <c r="U57" s="18">
        <f>$F$57*J57</f>
        <v>3689.3203883495144</v>
      </c>
      <c r="V57" s="18">
        <f>$F$57*K57</f>
        <v>3689.3203883495144</v>
      </c>
      <c r="W57" s="18">
        <f>SUM(R57:V57)</f>
        <v>18446.601941747573</v>
      </c>
    </row>
    <row r="58" spans="1:24" x14ac:dyDescent="0.25">
      <c r="A58" s="19" t="s">
        <v>83</v>
      </c>
      <c r="B58" s="19">
        <v>2</v>
      </c>
      <c r="C58" s="19" t="s">
        <v>86</v>
      </c>
      <c r="D58" s="19"/>
      <c r="E58" s="18">
        <f>0.95*500000</f>
        <v>475000</v>
      </c>
      <c r="F58" s="18">
        <f>E58/Parametros!$C$3</f>
        <v>9223.3009708737864</v>
      </c>
      <c r="G58" s="19"/>
      <c r="H58" s="19">
        <v>1</v>
      </c>
      <c r="I58" s="19">
        <v>1</v>
      </c>
      <c r="J58" s="19"/>
      <c r="K58" s="19"/>
      <c r="L58" s="18">
        <f>$E$58*G58</f>
        <v>0</v>
      </c>
      <c r="M58" s="18">
        <f>$E$58*H58</f>
        <v>475000</v>
      </c>
      <c r="N58" s="18">
        <f>$E$58*I58</f>
        <v>475000</v>
      </c>
      <c r="O58" s="18">
        <f>$E$58*J58</f>
        <v>0</v>
      </c>
      <c r="P58" s="18">
        <f>$E$58*K58</f>
        <v>0</v>
      </c>
      <c r="Q58" s="18">
        <f>SUM(L58:P58)</f>
        <v>950000</v>
      </c>
      <c r="R58" s="18">
        <f>$F$58*G58</f>
        <v>0</v>
      </c>
      <c r="S58" s="18">
        <f>$F$58*H58</f>
        <v>9223.3009708737864</v>
      </c>
      <c r="T58" s="18">
        <f>$F$58*I58</f>
        <v>9223.3009708737864</v>
      </c>
      <c r="U58" s="18">
        <f>$F$58*J58</f>
        <v>0</v>
      </c>
      <c r="V58" s="18">
        <f>$F$58*K58</f>
        <v>0</v>
      </c>
      <c r="W58" s="18">
        <f>SUM(R58:V58)</f>
        <v>18446.601941747573</v>
      </c>
    </row>
    <row r="59" spans="1:24" x14ac:dyDescent="0.25">
      <c r="A59" s="19" t="s">
        <v>84</v>
      </c>
      <c r="B59" s="19">
        <v>2</v>
      </c>
      <c r="C59" s="19" t="s">
        <v>43</v>
      </c>
      <c r="D59" s="19"/>
      <c r="E59" s="18">
        <f>0.95*100000</f>
        <v>95000</v>
      </c>
      <c r="F59" s="18">
        <f>E59/Parametros!$C$3</f>
        <v>1844.6601941747572</v>
      </c>
      <c r="G59" s="19">
        <v>2</v>
      </c>
      <c r="H59" s="19">
        <v>2</v>
      </c>
      <c r="I59" s="19">
        <v>2</v>
      </c>
      <c r="J59" s="19">
        <v>2</v>
      </c>
      <c r="K59" s="19">
        <v>2</v>
      </c>
      <c r="L59" s="18">
        <f>$E$59*G59</f>
        <v>190000</v>
      </c>
      <c r="M59" s="18">
        <f>$E$59*H59</f>
        <v>190000</v>
      </c>
      <c r="N59" s="18">
        <f>$E$59*I59</f>
        <v>190000</v>
      </c>
      <c r="O59" s="18">
        <f>$E$59*J59</f>
        <v>190000</v>
      </c>
      <c r="P59" s="18">
        <f>$E$59*K59</f>
        <v>190000</v>
      </c>
      <c r="Q59" s="18">
        <f>SUM(L59:P59)</f>
        <v>950000</v>
      </c>
      <c r="R59" s="18">
        <f>$F$59*G59</f>
        <v>3689.3203883495144</v>
      </c>
      <c r="S59" s="18">
        <f>$F$59*H59</f>
        <v>3689.3203883495144</v>
      </c>
      <c r="T59" s="18">
        <f>$F$59*I59</f>
        <v>3689.3203883495144</v>
      </c>
      <c r="U59" s="18">
        <f>$F$59*J59</f>
        <v>3689.3203883495144</v>
      </c>
      <c r="V59" s="18">
        <f>$F$59*K59</f>
        <v>3689.3203883495144</v>
      </c>
      <c r="W59" s="18">
        <f>SUM(R59:V59)</f>
        <v>18446.601941747573</v>
      </c>
    </row>
    <row r="60" spans="1:24" x14ac:dyDescent="0.25">
      <c r="A60" s="17" t="s">
        <v>89</v>
      </c>
      <c r="B60" s="9"/>
      <c r="C60" s="9"/>
      <c r="D60" s="9"/>
      <c r="E60" s="8"/>
      <c r="F60" s="8"/>
      <c r="G60" s="9"/>
      <c r="H60" s="9"/>
      <c r="I60" s="9"/>
      <c r="J60" s="9"/>
      <c r="K60" s="9"/>
      <c r="L60" s="8">
        <f>R60*Parametros!$C$3</f>
        <v>442549.96351700358</v>
      </c>
      <c r="M60" s="8">
        <f>S60*Parametros!$C$3</f>
        <v>1035465.7887834106</v>
      </c>
      <c r="N60" s="8">
        <f>T60*Parametros!$C$3</f>
        <v>3018700.8073608275</v>
      </c>
      <c r="O60" s="8">
        <f>U60*Parametros!$C$3</f>
        <v>983357.14884193696</v>
      </c>
      <c r="P60" s="8">
        <f>V60*Parametros!$C$3</f>
        <v>478821.29149681784</v>
      </c>
      <c r="Q60" s="18">
        <f>SUM(L60:P60)</f>
        <v>5958894.9999999963</v>
      </c>
      <c r="R60" s="8">
        <v>8593.2031750874485</v>
      </c>
      <c r="S60" s="8">
        <v>20106.131821037099</v>
      </c>
      <c r="T60" s="8">
        <v>58615.5496574918</v>
      </c>
      <c r="U60" s="8">
        <v>19094.313569746348</v>
      </c>
      <c r="V60" s="8">
        <v>9297.5008057634532</v>
      </c>
      <c r="W60" s="8">
        <f>SUM(R60:V60)</f>
        <v>115706.69902912615</v>
      </c>
    </row>
    <row r="61" spans="1:24" x14ac:dyDescent="0.25">
      <c r="A61" s="29" t="s">
        <v>18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30">
        <f t="shared" ref="L61:V61" si="9">SUM(L6:L60)</f>
        <v>63320104.963517003</v>
      </c>
      <c r="M61" s="30">
        <f t="shared" si="9"/>
        <v>22343651.274220303</v>
      </c>
      <c r="N61" s="30">
        <f t="shared" si="9"/>
        <v>13523770.370467624</v>
      </c>
      <c r="O61" s="30">
        <f t="shared" si="9"/>
        <v>9726499.5274827126</v>
      </c>
      <c r="P61" s="30">
        <f t="shared" si="9"/>
        <v>9215876.291496817</v>
      </c>
      <c r="Q61" s="30">
        <f t="shared" si="9"/>
        <v>118129902.42718446</v>
      </c>
      <c r="R61" s="30">
        <f t="shared" si="9"/>
        <v>1229516.6012333396</v>
      </c>
      <c r="S61" s="30">
        <f>SUM(S6:S60)</f>
        <v>437927.19978220219</v>
      </c>
      <c r="T61" s="30">
        <f t="shared" si="9"/>
        <v>272907.87975457916</v>
      </c>
      <c r="U61" s="30">
        <f t="shared" si="9"/>
        <v>194833.24560858129</v>
      </c>
      <c r="V61" s="30">
        <f t="shared" si="9"/>
        <v>178949.0542038217</v>
      </c>
      <c r="W61" s="30">
        <f>SUM(W6:W60)</f>
        <v>2314133.9805825246</v>
      </c>
      <c r="X61" s="14"/>
    </row>
    <row r="62" spans="1:24" x14ac:dyDescent="0.25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4"/>
    </row>
  </sheetData>
  <mergeCells count="11">
    <mergeCell ref="Q2:Q3"/>
    <mergeCell ref="A2:A3"/>
    <mergeCell ref="B2:B3"/>
    <mergeCell ref="C2:C3"/>
    <mergeCell ref="D2:D3"/>
    <mergeCell ref="E2:E3"/>
    <mergeCell ref="R2:V2"/>
    <mergeCell ref="L2:P2"/>
    <mergeCell ref="F2:F3"/>
    <mergeCell ref="G2:K2"/>
    <mergeCell ref="W2:W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54B4791E1DD4595AED9181FF3E0AC" ma:contentTypeVersion="14" ma:contentTypeDescription="Create a new document." ma:contentTypeScope="" ma:versionID="ef45d1ff97f48c5e8182bd60f8140196">
  <xsd:schema xmlns:xsd="http://www.w3.org/2001/XMLSchema" xmlns:xs="http://www.w3.org/2001/XMLSchema" xmlns:p="http://schemas.microsoft.com/office/2006/metadata/properties" xmlns:ns2="a424c09d-1c4b-4251-b77b-679941b6a2cf" xmlns:ns3="73d948e2-3334-4276-919a-d2d4df259862" targetNamespace="http://schemas.microsoft.com/office/2006/metadata/properties" ma:root="true" ma:fieldsID="94616b2e3715c0f58bd34a7d07b126ef" ns2:_="" ns3:_="">
    <xsd:import namespace="a424c09d-1c4b-4251-b77b-679941b6a2cf"/>
    <xsd:import namespace="73d948e2-3334-4276-919a-d2d4df25986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4c09d-1c4b-4251-b77b-679941b6a2c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beb968c-8ea1-4092-bc4f-c671fdfc68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948e2-3334-4276-919a-d2d4df25986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4c6df33-0594-474a-b6a2-f9fd839c9c7e}" ma:internalName="TaxCatchAll" ma:showField="CatchAllData" ma:web="73d948e2-3334-4276-919a-d2d4df2598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24c09d-1c4b-4251-b77b-679941b6a2cf">
      <Terms xmlns="http://schemas.microsoft.com/office/infopath/2007/PartnerControls"/>
    </lcf76f155ced4ddcb4097134ff3c332f>
    <TaxCatchAll xmlns="73d948e2-3334-4276-919a-d2d4df25986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83DEB-72B0-49F8-A999-2C06AD08176F}"/>
</file>

<file path=customXml/itemProps2.xml><?xml version="1.0" encoding="utf-8"?>
<ds:datastoreItem xmlns:ds="http://schemas.openxmlformats.org/officeDocument/2006/customXml" ds:itemID="{73B00B10-2692-4F28-B51E-7A8E79F68F0B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dcd14a01-78ad-4e23-8249-c08fce1d3cd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6d7e239-f0cf-4c81-a912-f788c612f72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AD54B8-3DD0-4A9E-8268-461B44882B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Parametros</vt:lpstr>
      <vt:lpstr>Componente 1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Prestor Reyes</cp:lastModifiedBy>
  <dcterms:created xsi:type="dcterms:W3CDTF">2021-02-25T15:57:42Z</dcterms:created>
  <dcterms:modified xsi:type="dcterms:W3CDTF">2022-01-14T14:18:12Z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0x010100CA854B4791E1DD4595AED9181FF3E0AC</vt:lpwstr>
  </property>
</Properties>
</file>